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trim -tiparire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<sst xmlns="http://schemas.openxmlformats.org/spreadsheetml/2006/main" count="97" uniqueCount="91">
  <si>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</si>
  <si>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</si>
  <si>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</si>
  <si>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</si>
  <si>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</si>
  <si>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</si>
  <si>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</si>
  <si>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</si>
  <si>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</si>
  <si>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</si>
  <si>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</si>
  <si>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</si>
  <si>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</si>
  <si>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</si>
  <si>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</si>
  <si>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</si>
  <si>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</si>
  <si>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</si>
  <si>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</si>
  <si>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</si>
  <si>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</si>
  <si>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TOTAL GENERAL P.N.S.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</si>
  <si>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</si>
  <si>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</si>
  <si>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</si>
  <si>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</si>
  <si>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</si>
  <si>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</si>
  <si>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</si>
  <si>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</si>
  <si>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</si>
  <si>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</si>
  <si>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</si>
  <si>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</si>
  <si>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</si>
  <si>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</si>
  <si>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</si>
  <si>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In stoc la 01.01.2017</t>
  </si>
  <si>
    <t>MUCOVISCIDOZA adulti</t>
  </si>
  <si>
    <t>ART8 dupa an 2016</t>
  </si>
  <si>
    <t>CREDIT DE ANGAJAMENT AN 2017</t>
  </si>
  <si>
    <t>TOTAL ONCOLOGIE (fara CV)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</si>
  <si>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</si>
  <si>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</si>
  <si>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</si>
  <si>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</si>
  <si>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</si>
  <si>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</si>
  <si>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</si>
  <si>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</si>
  <si>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</si>
  <si>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</si>
  <si>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</si>
  <si>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</si>
  <si>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</si>
  <si>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Depasire CA/2017 (sumele in mov)</t>
  </si>
  <si>
    <t>CREDIT DE ANGAJAMENT TRIM I 2018</t>
  </si>
  <si>
    <t>CREDIT DE ANGAJAMENT APR-DEC2018</t>
  </si>
  <si>
    <t>SITUATIA SUMELOR DISTRIBUITE PE PROGRAME DE SANATATE CURATIVE , pe TRIMESTRE - AN 2018</t>
  </si>
  <si>
    <t>COST-VOLUM - spital</t>
  </si>
  <si>
    <t>TOTAL COST-VOLUM</t>
  </si>
  <si>
    <t>ART8 dupa an 2017</t>
  </si>
  <si>
    <t>CONSUM IAN</t>
  </si>
  <si>
    <t>INTRARI IAN</t>
  </si>
  <si>
    <t>PLATI la spitale IAN2018</t>
  </si>
  <si>
    <t>CONSUM FEB</t>
  </si>
  <si>
    <t>INTRARI FEB</t>
  </si>
  <si>
    <t>PLATI la spitale FEB2018</t>
  </si>
  <si>
    <t>CONSUM AN 2018</t>
  </si>
  <si>
    <t>INTRARI AN 2018</t>
  </si>
  <si>
    <t>PLATI la spitale - AN 2018</t>
  </si>
  <si>
    <t>CA pt SPITALE AN 2018 (suma ramasa neutilizata)</t>
  </si>
  <si>
    <t>REST credit de angajament pt FARMACII AN2018</t>
  </si>
  <si>
    <t>In stoc la 31.01.2018</t>
  </si>
  <si>
    <t>CONSUM MAR</t>
  </si>
  <si>
    <t>INTRARI MAR</t>
  </si>
  <si>
    <t>PLATI la spitale MAR2018</t>
  </si>
  <si>
    <t>INTRARI TRIM I</t>
  </si>
  <si>
    <t>CONSUM TRIM I</t>
  </si>
  <si>
    <t>PLATI la spitale TRIM I 2018</t>
  </si>
  <si>
    <t>In stoc la 01.01.2018</t>
  </si>
  <si>
    <t>PNS ctr 1724 SPITAL JUDETEAN (cu CV) =</t>
  </si>
  <si>
    <t xml:space="preserve">PNS pt FARMACII (cu CV) = </t>
  </si>
  <si>
    <t>Depasire CA / Trim I 2018 (daca e cu + )</t>
  </si>
  <si>
    <t>CREDIT ANGAJAMENT AN 2018, din care:</t>
  </si>
  <si>
    <t>CA pt TRIM II 2018</t>
  </si>
  <si>
    <t>CA pt TRIM III 2018</t>
  </si>
  <si>
    <t>CA pt TRIM IV 2018</t>
  </si>
  <si>
    <t>NOTA: Programele de sanatate se deruleaza prin Spitalul Judetean Braila, prin toate farmaciile ce se afla in contract cu C.A.S. Braila, iar DIALIZA prin DIAVERUM Braila si Rontis Braila</t>
  </si>
  <si>
    <t>Program national de supleere a functiei renale la bolnavii cu insuficienta renala cronica*) - Spital Judetean Braila</t>
  </si>
  <si>
    <t xml:space="preserve">(PNS) pt SPITAL =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</si>
</sst>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" fontId="4" fillId="20" borderId="12" xfId="0" applyNumberFormat="1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15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 wrapText="1"/>
    </xf>
    <xf numFmtId="4" fontId="0" fillId="0" borderId="25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 wrapText="1"/>
    </xf>
    <xf numFmtId="4" fontId="4" fillId="22" borderId="27" xfId="0" applyNumberFormat="1" applyFont="1" applyFill="1" applyBorder="1" applyAlignment="1">
      <alignment horizontal="center" vertical="center" wrapText="1"/>
    </xf>
    <xf numFmtId="4" fontId="4" fillId="22" borderId="28" xfId="0" applyNumberFormat="1" applyFont="1" applyFill="1" applyBorder="1" applyAlignment="1">
      <alignment horizontal="center" vertical="center" wrapText="1"/>
    </xf>
    <xf numFmtId="4" fontId="4" fillId="24" borderId="29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31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24" borderId="19" xfId="0" applyFont="1" applyFill="1" applyBorder="1" applyAlignment="1">
      <alignment horizontal="center" vertical="center" wrapText="1"/>
    </xf>
    <xf numFmtId="4" fontId="5" fillId="22" borderId="27" xfId="0" applyNumberFormat="1" applyFont="1" applyFill="1" applyBorder="1" applyAlignment="1">
      <alignment horizontal="center" vertical="center" wrapText="1"/>
    </xf>
    <xf numFmtId="4" fontId="1" fillId="24" borderId="25" xfId="0" applyNumberFormat="1" applyFont="1" applyFill="1" applyBorder="1" applyAlignment="1">
      <alignment vertical="center" wrapText="1"/>
    </xf>
    <xf numFmtId="4" fontId="1" fillId="24" borderId="26" xfId="0" applyNumberFormat="1" applyFont="1" applyFill="1" applyBorder="1" applyAlignment="1">
      <alignment vertical="center" wrapText="1"/>
    </xf>
    <xf numFmtId="4" fontId="1" fillId="24" borderId="32" xfId="0" applyNumberFormat="1" applyFont="1" applyFill="1" applyBorder="1" applyAlignment="1">
      <alignment vertical="center" wrapText="1"/>
    </xf>
    <xf numFmtId="4" fontId="1" fillId="24" borderId="15" xfId="0" applyNumberFormat="1" applyFont="1" applyFill="1" applyBorder="1" applyAlignment="1">
      <alignment vertical="center" wrapText="1"/>
    </xf>
    <xf numFmtId="4" fontId="1" fillId="24" borderId="30" xfId="0" applyNumberFormat="1" applyFont="1" applyFill="1" applyBorder="1" applyAlignment="1">
      <alignment vertical="center" wrapText="1"/>
    </xf>
    <xf numFmtId="4" fontId="4" fillId="24" borderId="15" xfId="0" applyNumberFormat="1" applyFont="1" applyFill="1" applyBorder="1" applyAlignment="1">
      <alignment vertical="center" wrapText="1"/>
    </xf>
    <xf numFmtId="4" fontId="4" fillId="24" borderId="32" xfId="0" applyNumberFormat="1" applyFont="1" applyFill="1" applyBorder="1" applyAlignment="1">
      <alignment vertical="center" wrapText="1"/>
    </xf>
    <xf numFmtId="4" fontId="4" fillId="24" borderId="33" xfId="0" applyNumberFormat="1" applyFont="1" applyFill="1" applyBorder="1" applyAlignment="1">
      <alignment vertical="center" wrapText="1"/>
    </xf>
    <xf numFmtId="4" fontId="4" fillId="24" borderId="34" xfId="0" applyNumberFormat="1" applyFont="1" applyFill="1" applyBorder="1" applyAlignment="1">
      <alignment vertical="center" wrapText="1"/>
    </xf>
    <xf numFmtId="4" fontId="1" fillId="24" borderId="35" xfId="0" applyNumberFormat="1" applyFont="1" applyFill="1" applyBorder="1" applyAlignment="1">
      <alignment horizontal="right" vertical="center" wrapText="1"/>
    </xf>
    <xf numFmtId="4" fontId="1" fillId="24" borderId="33" xfId="0" applyNumberFormat="1" applyFont="1" applyFill="1" applyBorder="1" applyAlignment="1">
      <alignment horizontal="right" vertical="center" wrapText="1"/>
    </xf>
    <xf numFmtId="4" fontId="1" fillId="24" borderId="27" xfId="0" applyNumberFormat="1" applyFont="1" applyFill="1" applyBorder="1" applyAlignment="1">
      <alignment horizontal="right" vertical="center" wrapText="1"/>
    </xf>
    <xf numFmtId="4" fontId="1" fillId="24" borderId="3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0" borderId="38" xfId="0" applyNumberFormat="1" applyFont="1" applyFill="1" applyBorder="1" applyAlignment="1">
      <alignment horizontal="right" wrapText="1"/>
    </xf>
    <xf numFmtId="4" fontId="4" fillId="24" borderId="19" xfId="0" applyNumberFormat="1" applyFont="1" applyFill="1" applyBorder="1" applyAlignment="1">
      <alignment vertical="center"/>
    </xf>
    <xf numFmtId="4" fontId="4" fillId="24" borderId="33" xfId="0" applyNumberFormat="1" applyFont="1" applyFill="1" applyBorder="1" applyAlignment="1">
      <alignment vertical="center"/>
    </xf>
    <xf numFmtId="4" fontId="4" fillId="24" borderId="19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22" borderId="1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4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24" borderId="39" xfId="0" applyNumberFormat="1" applyFont="1" applyFill="1" applyBorder="1" applyAlignment="1">
      <alignment horizontal="center" vertical="center" wrapText="1"/>
    </xf>
    <xf numFmtId="3" fontId="3" fillId="25" borderId="15" xfId="0" applyNumberFormat="1" applyFont="1" applyFill="1" applyBorder="1" applyAlignment="1">
      <alignment vertical="center" wrapText="1"/>
    </xf>
    <xf numFmtId="3" fontId="3" fillId="25" borderId="26" xfId="0" applyNumberFormat="1" applyFont="1" applyFill="1" applyBorder="1" applyAlignment="1">
      <alignment vertical="center" wrapText="1"/>
    </xf>
    <xf numFmtId="3" fontId="3" fillId="25" borderId="32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vertical="center" wrapText="1"/>
    </xf>
    <xf numFmtId="3" fontId="3" fillId="25" borderId="30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wrapText="1"/>
    </xf>
    <xf numFmtId="4" fontId="0" fillId="24" borderId="36" xfId="0" applyNumberFormat="1" applyFill="1" applyBorder="1" applyAlignment="1">
      <alignment vertical="center"/>
    </xf>
    <xf numFmtId="4" fontId="0" fillId="24" borderId="42" xfId="0" applyNumberFormat="1" applyFill="1" applyBorder="1" applyAlignment="1">
      <alignment vertical="center"/>
    </xf>
    <xf numFmtId="4" fontId="0" fillId="24" borderId="19" xfId="0" applyNumberFormat="1" applyFill="1" applyBorder="1" applyAlignment="1">
      <alignment vertical="center"/>
    </xf>
    <xf numFmtId="4" fontId="0" fillId="24" borderId="33" xfId="0" applyNumberForma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4" borderId="43" xfId="0" applyNumberFormat="1" applyFont="1" applyFill="1" applyBorder="1" applyAlignment="1">
      <alignment vertical="center"/>
    </xf>
    <xf numFmtId="4" fontId="4" fillId="4" borderId="44" xfId="0" applyNumberFormat="1" applyFont="1" applyFill="1" applyBorder="1" applyAlignment="1">
      <alignment vertical="center"/>
    </xf>
    <xf numFmtId="4" fontId="4" fillId="4" borderId="45" xfId="0" applyNumberFormat="1" applyFont="1" applyFill="1" applyBorder="1" applyAlignment="1">
      <alignment vertical="center"/>
    </xf>
    <xf numFmtId="4" fontId="4" fillId="4" borderId="46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0" fillId="20" borderId="48" xfId="0" applyNumberFormat="1" applyFill="1" applyBorder="1" applyAlignment="1">
      <alignment vertical="center"/>
    </xf>
    <xf numFmtId="4" fontId="0" fillId="20" borderId="49" xfId="0" applyNumberFormat="1" applyFill="1" applyBorder="1" applyAlignment="1">
      <alignment vertical="center"/>
    </xf>
    <xf numFmtId="4" fontId="0" fillId="20" borderId="50" xfId="0" applyNumberFormat="1" applyFill="1" applyBorder="1" applyAlignment="1">
      <alignment vertical="center"/>
    </xf>
    <xf numFmtId="4" fontId="0" fillId="20" borderId="31" xfId="0" applyNumberFormat="1" applyFill="1" applyBorder="1" applyAlignment="1">
      <alignment vertical="center"/>
    </xf>
    <xf numFmtId="4" fontId="0" fillId="20" borderId="51" xfId="0" applyNumberFormat="1" applyFill="1" applyBorder="1" applyAlignment="1">
      <alignment vertical="center"/>
    </xf>
    <xf numFmtId="4" fontId="0" fillId="20" borderId="52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53" xfId="0" applyNumberFormat="1" applyFill="1" applyBorder="1" applyAlignment="1">
      <alignment vertical="center"/>
    </xf>
    <xf numFmtId="4" fontId="0" fillId="20" borderId="54" xfId="0" applyNumberFormat="1" applyFill="1" applyBorder="1" applyAlignment="1">
      <alignment vertical="center"/>
    </xf>
    <xf numFmtId="4" fontId="0" fillId="20" borderId="55" xfId="0" applyNumberFormat="1" applyFill="1" applyBorder="1" applyAlignment="1">
      <alignment vertical="center"/>
    </xf>
    <xf numFmtId="4" fontId="4" fillId="20" borderId="35" xfId="0" applyNumberFormat="1" applyFont="1" applyFill="1" applyBorder="1" applyAlignment="1">
      <alignment horizontal="center" vertical="center" wrapText="1"/>
    </xf>
    <xf numFmtId="4" fontId="4" fillId="20" borderId="34" xfId="0" applyNumberFormat="1" applyFont="1" applyFill="1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3" fontId="3" fillId="5" borderId="32" xfId="0" applyNumberFormat="1" applyFont="1" applyFill="1" applyBorder="1" applyAlignment="1">
      <alignment vertical="center" wrapText="1"/>
    </xf>
    <xf numFmtId="3" fontId="4" fillId="0" borderId="57" xfId="0" applyNumberFormat="1" applyFont="1" applyFill="1" applyBorder="1" applyAlignment="1">
      <alignment wrapText="1"/>
    </xf>
    <xf numFmtId="4" fontId="0" fillId="4" borderId="25" xfId="0" applyNumberFormat="1" applyFill="1" applyBorder="1" applyAlignment="1">
      <alignment wrapText="1"/>
    </xf>
    <xf numFmtId="3" fontId="4" fillId="0" borderId="58" xfId="0" applyNumberFormat="1" applyFont="1" applyFill="1" applyBorder="1" applyAlignment="1">
      <alignment wrapText="1"/>
    </xf>
    <xf numFmtId="0" fontId="4" fillId="24" borderId="46" xfId="0" applyFont="1" applyFill="1" applyBorder="1" applyAlignment="1">
      <alignment wrapText="1"/>
    </xf>
    <xf numFmtId="4" fontId="0" fillId="24" borderId="26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11" fillId="0" borderId="26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 vertical="center" wrapText="1"/>
    </xf>
    <xf numFmtId="4" fontId="4" fillId="4" borderId="48" xfId="0" applyNumberFormat="1" applyFont="1" applyFill="1" applyBorder="1" applyAlignment="1">
      <alignment vertical="center"/>
    </xf>
    <xf numFmtId="4" fontId="4" fillId="4" borderId="50" xfId="0" applyNumberFormat="1" applyFont="1" applyFill="1" applyBorder="1" applyAlignment="1">
      <alignment vertical="center"/>
    </xf>
    <xf numFmtId="4" fontId="4" fillId="4" borderId="51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/>
    </xf>
    <xf numFmtId="4" fontId="4" fillId="4" borderId="54" xfId="0" applyNumberFormat="1" applyFont="1" applyFill="1" applyBorder="1" applyAlignment="1">
      <alignment vertical="center"/>
    </xf>
    <xf numFmtId="4" fontId="8" fillId="4" borderId="35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9" fillId="20" borderId="41" xfId="0" applyNumberFormat="1" applyFont="1" applyFill="1" applyBorder="1" applyAlignment="1">
      <alignment horizontal="center" vertical="center" wrapText="1"/>
    </xf>
    <xf numFmtId="4" fontId="11" fillId="20" borderId="43" xfId="0" applyNumberFormat="1" applyFont="1" applyFill="1" applyBorder="1" applyAlignment="1">
      <alignment vertical="center"/>
    </xf>
    <xf numFmtId="4" fontId="11" fillId="20" borderId="44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/>
    </xf>
    <xf numFmtId="4" fontId="9" fillId="24" borderId="27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 wrapText="1"/>
    </xf>
    <xf numFmtId="4" fontId="11" fillId="20" borderId="45" xfId="0" applyNumberFormat="1" applyFont="1" applyFill="1" applyBorder="1" applyAlignment="1">
      <alignment vertical="center"/>
    </xf>
    <xf numFmtId="4" fontId="11" fillId="20" borderId="46" xfId="0" applyNumberFormat="1" applyFont="1" applyFill="1" applyBorder="1" applyAlignment="1">
      <alignment vertical="center"/>
    </xf>
    <xf numFmtId="4" fontId="11" fillId="20" borderId="47" xfId="0" applyNumberFormat="1" applyFont="1" applyFill="1" applyBorder="1" applyAlignment="1">
      <alignment vertical="center"/>
    </xf>
    <xf numFmtId="4" fontId="9" fillId="22" borderId="28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 wrapText="1"/>
    </xf>
    <xf numFmtId="4" fontId="9" fillId="0" borderId="24" xfId="0" applyNumberFormat="1" applyFont="1" applyFill="1" applyBorder="1" applyAlignment="1">
      <alignment horizontal="right" wrapText="1"/>
    </xf>
    <xf numFmtId="4" fontId="11" fillId="4" borderId="25" xfId="0" applyNumberFormat="1" applyFont="1" applyFill="1" applyBorder="1" applyAlignment="1">
      <alignment wrapText="1"/>
    </xf>
    <xf numFmtId="4" fontId="11" fillId="24" borderId="26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4" fontId="9" fillId="0" borderId="59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quotePrefix="1">
      <alignment horizontal="right"/>
    </xf>
    <xf numFmtId="4" fontId="4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ill="1" applyBorder="1" applyAlignment="1">
      <alignment/>
    </xf>
    <xf numFmtId="0" fontId="0" fillId="0" borderId="26" xfId="0" applyFill="1" applyBorder="1" applyAlignment="1">
      <alignment vertical="center"/>
    </xf>
    <xf numFmtId="4" fontId="13" fillId="3" borderId="26" xfId="0" applyNumberFormat="1" applyFont="1" applyFill="1" applyBorder="1" applyAlignment="1">
      <alignment vertical="center" wrapText="1"/>
    </xf>
    <xf numFmtId="4" fontId="13" fillId="5" borderId="32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/>
    </xf>
    <xf numFmtId="4" fontId="13" fillId="3" borderId="15" xfId="0" applyNumberFormat="1" applyFont="1" applyFill="1" applyBorder="1" applyAlignment="1">
      <alignment vertical="center" wrapText="1"/>
    </xf>
    <xf numFmtId="4" fontId="13" fillId="3" borderId="30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9" fillId="3" borderId="32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 wrapText="1"/>
    </xf>
    <xf numFmtId="4" fontId="9" fillId="3" borderId="27" xfId="0" applyNumberFormat="1" applyFont="1" applyFill="1" applyBorder="1" applyAlignment="1">
      <alignment vertical="center"/>
    </xf>
    <xf numFmtId="4" fontId="13" fillId="3" borderId="32" xfId="0" applyNumberFormat="1" applyFont="1" applyFill="1" applyBorder="1" applyAlignment="1">
      <alignment vertical="center" wrapText="1"/>
    </xf>
    <xf numFmtId="4" fontId="9" fillId="3" borderId="34" xfId="0" applyNumberFormat="1" applyFont="1" applyFill="1" applyBorder="1" applyAlignment="1">
      <alignment vertical="center" wrapText="1"/>
    </xf>
    <xf numFmtId="4" fontId="13" fillId="3" borderId="34" xfId="0" applyNumberFormat="1" applyFont="1" applyFill="1" applyBorder="1" applyAlignment="1">
      <alignment horizontal="right" vertical="center" wrapText="1"/>
    </xf>
    <xf numFmtId="4" fontId="13" fillId="3" borderId="26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26" borderId="44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4" fillId="26" borderId="12" xfId="0" applyNumberFormat="1" applyFont="1" applyFill="1" applyBorder="1" applyAlignment="1">
      <alignment vertical="center"/>
    </xf>
    <xf numFmtId="4" fontId="0" fillId="26" borderId="12" xfId="0" applyNumberForma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14" fillId="26" borderId="15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9" fillId="0" borderId="60" xfId="0" applyNumberFormat="1" applyFont="1" applyFill="1" applyBorder="1" applyAlignment="1">
      <alignment horizontal="right" wrapText="1"/>
    </xf>
    <xf numFmtId="4" fontId="9" fillId="3" borderId="61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2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16" fillId="5" borderId="42" xfId="0" applyNumberFormat="1" applyFont="1" applyFill="1" applyBorder="1" applyAlignment="1">
      <alignment vertical="center"/>
    </xf>
    <xf numFmtId="3" fontId="5" fillId="25" borderId="19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33" xfId="0" applyNumberFormat="1" applyFont="1" applyFill="1" applyBorder="1" applyAlignment="1">
      <alignment vertical="center"/>
    </xf>
    <xf numFmtId="4" fontId="0" fillId="4" borderId="25" xfId="0" applyNumberFormat="1" applyFont="1" applyFill="1" applyBorder="1" applyAlignment="1">
      <alignment wrapText="1"/>
    </xf>
    <xf numFmtId="4" fontId="0" fillId="24" borderId="26" xfId="0" applyNumberFormat="1" applyFont="1" applyFill="1" applyBorder="1" applyAlignment="1">
      <alignment wrapText="1"/>
    </xf>
    <xf numFmtId="3" fontId="10" fillId="0" borderId="36" xfId="0" applyNumberFormat="1" applyFont="1" applyFill="1" applyBorder="1" applyAlignment="1">
      <alignment vertical="center"/>
    </xf>
    <xf numFmtId="3" fontId="17" fillId="5" borderId="42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5" fillId="25" borderId="42" xfId="0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" fontId="10" fillId="5" borderId="33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4" fontId="0" fillId="5" borderId="42" xfId="0" applyNumberFormat="1" applyFill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0" fontId="1" fillId="5" borderId="51" xfId="0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vertical="center" wrapText="1"/>
    </xf>
    <xf numFmtId="4" fontId="1" fillId="5" borderId="30" xfId="0" applyNumberFormat="1" applyFont="1" applyFill="1" applyBorder="1" applyAlignment="1">
      <alignment vertical="center" wrapText="1"/>
    </xf>
    <xf numFmtId="4" fontId="0" fillId="5" borderId="63" xfId="0" applyNumberFormat="1" applyFill="1" applyBorder="1" applyAlignment="1">
      <alignment vertical="center"/>
    </xf>
    <xf numFmtId="4" fontId="11" fillId="5" borderId="59" xfId="0" applyNumberFormat="1" applyFont="1" applyFill="1" applyBorder="1" applyAlignment="1">
      <alignment vertical="center"/>
    </xf>
    <xf numFmtId="4" fontId="4" fillId="5" borderId="42" xfId="0" applyNumberFormat="1" applyFont="1" applyFill="1" applyBorder="1" applyAlignment="1">
      <alignment vertical="center"/>
    </xf>
    <xf numFmtId="4" fontId="4" fillId="5" borderId="59" xfId="0" applyNumberFormat="1" applyFont="1" applyFill="1" applyBorder="1" applyAlignment="1">
      <alignment vertical="center"/>
    </xf>
    <xf numFmtId="4" fontId="13" fillId="5" borderId="30" xfId="0" applyNumberFormat="1" applyFont="1" applyFill="1" applyBorder="1" applyAlignment="1">
      <alignment vertical="center" wrapText="1"/>
    </xf>
    <xf numFmtId="4" fontId="0" fillId="20" borderId="10" xfId="0" applyNumberFormat="1" applyFill="1" applyBorder="1" applyAlignment="1">
      <alignment vertical="center"/>
    </xf>
    <xf numFmtId="4" fontId="0" fillId="20" borderId="64" xfId="0" applyNumberFormat="1" applyFill="1" applyBorder="1" applyAlignment="1">
      <alignment vertical="center"/>
    </xf>
    <xf numFmtId="4" fontId="11" fillId="20" borderId="65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4" fillId="4" borderId="65" xfId="0" applyNumberFormat="1" applyFont="1" applyFill="1" applyBorder="1" applyAlignment="1">
      <alignment vertical="center"/>
    </xf>
    <xf numFmtId="4" fontId="0" fillId="24" borderId="37" xfId="0" applyNumberForma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4" fontId="0" fillId="5" borderId="56" xfId="0" applyNumberFormat="1" applyFill="1" applyBorder="1" applyAlignment="1">
      <alignment vertical="center"/>
    </xf>
    <xf numFmtId="4" fontId="0" fillId="5" borderId="66" xfId="0" applyNumberFormat="1" applyFill="1" applyBorder="1" applyAlignment="1">
      <alignment vertical="center"/>
    </xf>
    <xf numFmtId="4" fontId="11" fillId="5" borderId="67" xfId="0" applyNumberFormat="1" applyFont="1" applyFill="1" applyBorder="1" applyAlignment="1">
      <alignment vertical="center"/>
    </xf>
    <xf numFmtId="4" fontId="4" fillId="5" borderId="56" xfId="0" applyNumberFormat="1" applyFont="1" applyFill="1" applyBorder="1" applyAlignment="1">
      <alignment vertical="center"/>
    </xf>
    <xf numFmtId="4" fontId="4" fillId="5" borderId="67" xfId="0" applyNumberFormat="1" applyFont="1" applyFill="1" applyBorder="1" applyAlignment="1">
      <alignment vertical="center"/>
    </xf>
    <xf numFmtId="4" fontId="0" fillId="5" borderId="62" xfId="0" applyNumberFormat="1" applyFill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16" fillId="5" borderId="62" xfId="0" applyNumberFormat="1" applyFont="1" applyFill="1" applyBorder="1" applyAlignment="1">
      <alignment vertical="center"/>
    </xf>
    <xf numFmtId="3" fontId="17" fillId="5" borderId="62" xfId="0" applyNumberFormat="1" applyFont="1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 wrapText="1"/>
    </xf>
    <xf numFmtId="4" fontId="5" fillId="26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4" borderId="3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0" fillId="0" borderId="68" xfId="0" applyNumberFormat="1" applyFont="1" applyBorder="1" applyAlignment="1">
      <alignment horizontal="center" vertical="center" wrapText="1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4" fontId="0" fillId="0" borderId="71" xfId="0" applyNumberFormat="1" applyFont="1" applyBorder="1" applyAlignment="1">
      <alignment horizontal="center" vertical="center" wrapText="1"/>
    </xf>
    <xf numFmtId="4" fontId="0" fillId="0" borderId="48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0" fillId="0" borderId="72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8" fillId="24" borderId="34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7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4" fontId="8" fillId="24" borderId="19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wrapText="1"/>
    </xf>
    <xf numFmtId="4" fontId="0" fillId="24" borderId="26" xfId="0" applyNumberFormat="1" applyFont="1" applyFill="1" applyBorder="1" applyAlignment="1">
      <alignment wrapText="1"/>
    </xf>
    <xf numFmtId="4" fontId="4" fillId="0" borderId="32" xfId="0" applyNumberFormat="1" applyFont="1" applyFill="1" applyBorder="1" applyAlignment="1">
      <alignment vertical="center" wrapText="1"/>
    </xf>
    <xf numFmtId="4" fontId="4" fillId="24" borderId="12" xfId="0" applyNumberFormat="1" applyFont="1" applyFill="1" applyBorder="1" applyAlignment="1">
      <alignment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5" fillId="25" borderId="12" xfId="0" applyNumberFormat="1" applyFont="1" applyFill="1" applyBorder="1" applyAlignment="1">
      <alignment vertical="center" wrapText="1"/>
    </xf>
    <xf numFmtId="3" fontId="17" fillId="5" borderId="32" xfId="0" applyNumberFormat="1" applyFont="1" applyFill="1" applyBorder="1" applyAlignment="1">
      <alignment vertical="center"/>
    </xf>
    <xf numFmtId="3" fontId="17" fillId="5" borderId="30" xfId="0" applyNumberFormat="1" applyFont="1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3" fontId="5" fillId="2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4" fontId="0" fillId="0" borderId="75" xfId="0" applyNumberFormat="1" applyFill="1" applyBorder="1" applyAlignment="1">
      <alignment vertical="center"/>
    </xf>
    <xf numFmtId="4" fontId="9" fillId="20" borderId="41" xfId="0" applyNumberFormat="1" applyFont="1" applyFill="1" applyBorder="1" applyAlignment="1">
      <alignment horizontal="center" vertical="center" wrapText="1"/>
    </xf>
    <xf numFmtId="4" fontId="4" fillId="20" borderId="48" xfId="0" applyNumberFormat="1" applyFont="1" applyFill="1" applyBorder="1" applyAlignment="1">
      <alignment vertical="center"/>
    </xf>
    <xf numFmtId="4" fontId="4" fillId="20" borderId="49" xfId="0" applyNumberFormat="1" applyFont="1" applyFill="1" applyBorder="1" applyAlignment="1">
      <alignment vertical="center"/>
    </xf>
    <xf numFmtId="4" fontId="4" fillId="20" borderId="72" xfId="0" applyNumberFormat="1" applyFont="1" applyFill="1" applyBorder="1" applyAlignment="1">
      <alignment vertical="center"/>
    </xf>
    <xf numFmtId="4" fontId="4" fillId="20" borderId="50" xfId="0" applyNumberFormat="1" applyFont="1" applyFill="1" applyBorder="1" applyAlignment="1">
      <alignment vertical="center"/>
    </xf>
    <xf numFmtId="4" fontId="4" fillId="20" borderId="31" xfId="0" applyNumberFormat="1" applyFont="1" applyFill="1" applyBorder="1" applyAlignment="1">
      <alignment vertical="center"/>
    </xf>
    <xf numFmtId="4" fontId="4" fillId="20" borderId="22" xfId="0" applyNumberFormat="1" applyFont="1" applyFill="1" applyBorder="1" applyAlignment="1">
      <alignment vertical="center"/>
    </xf>
    <xf numFmtId="4" fontId="4" fillId="20" borderId="16" xfId="0" applyNumberFormat="1" applyFont="1" applyFill="1" applyBorder="1" applyAlignment="1">
      <alignment vertical="center"/>
    </xf>
    <xf numFmtId="4" fontId="4" fillId="20" borderId="73" xfId="0" applyNumberFormat="1" applyFont="1" applyFill="1" applyBorder="1" applyAlignment="1">
      <alignment vertical="center"/>
    </xf>
    <xf numFmtId="4" fontId="4" fillId="20" borderId="17" xfId="0" applyNumberFormat="1" applyFont="1" applyFill="1" applyBorder="1" applyAlignment="1">
      <alignment vertical="center"/>
    </xf>
    <xf numFmtId="4" fontId="5" fillId="25" borderId="12" xfId="0" applyNumberFormat="1" applyFont="1" applyFill="1" applyBorder="1" applyAlignment="1">
      <alignment vertical="center" wrapText="1"/>
    </xf>
    <xf numFmtId="4" fontId="4" fillId="25" borderId="12" xfId="0" applyNumberFormat="1" applyFont="1" applyFill="1" applyBorder="1" applyAlignment="1">
      <alignment vertical="center" wrapText="1"/>
    </xf>
    <xf numFmtId="4" fontId="5" fillId="25" borderId="12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/>
    </xf>
    <xf numFmtId="4" fontId="4" fillId="25" borderId="30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8" fillId="20" borderId="3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vertical="center"/>
    </xf>
    <xf numFmtId="4" fontId="0" fillId="25" borderId="26" xfId="0" applyNumberFormat="1" applyFill="1" applyBorder="1" applyAlignment="1">
      <alignment vertical="center"/>
    </xf>
    <xf numFmtId="3" fontId="17" fillId="5" borderId="62" xfId="0" applyNumberFormat="1" applyFont="1" applyFill="1" applyBorder="1" applyAlignment="1">
      <alignment vertical="center"/>
    </xf>
    <xf numFmtId="3" fontId="17" fillId="5" borderId="42" xfId="0" applyNumberFormat="1" applyFont="1" applyFill="1" applyBorder="1" applyAlignment="1">
      <alignment vertical="center"/>
    </xf>
    <xf numFmtId="3" fontId="10" fillId="5" borderId="62" xfId="0" applyNumberFormat="1" applyFont="1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/>
    </xf>
    <xf numFmtId="4" fontId="18" fillId="3" borderId="19" xfId="0" applyNumberFormat="1" applyFont="1" applyFill="1" applyBorder="1" applyAlignment="1">
      <alignment horizontal="center" vertical="center" wrapText="1"/>
    </xf>
    <xf numFmtId="4" fontId="18" fillId="0" borderId="62" xfId="0" applyNumberFormat="1" applyFont="1" applyFill="1" applyBorder="1" applyAlignment="1">
      <alignment vertical="center"/>
    </xf>
    <xf numFmtId="4" fontId="18" fillId="3" borderId="19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4" fontId="5" fillId="27" borderId="12" xfId="0" applyNumberFormat="1" applyFont="1" applyFill="1" applyBorder="1" applyAlignment="1">
      <alignment vertical="center" wrapText="1"/>
    </xf>
    <xf numFmtId="3" fontId="5" fillId="27" borderId="12" xfId="0" applyNumberFormat="1" applyFont="1" applyFill="1" applyBorder="1" applyAlignment="1">
      <alignment vertical="center" wrapText="1"/>
    </xf>
    <xf numFmtId="4" fontId="5" fillId="27" borderId="12" xfId="0" applyNumberFormat="1" applyFont="1" applyFill="1" applyBorder="1" applyAlignment="1">
      <alignment vertical="center"/>
    </xf>
    <xf numFmtId="4" fontId="4" fillId="27" borderId="12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0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2" xfId="0" applyNumberFormat="1" applyFont="1" applyFill="1" applyBorder="1" applyAlignment="1">
      <alignment vertical="center"/>
    </xf>
    <xf numFmtId="3" fontId="5" fillId="27" borderId="27" xfId="0" applyNumberFormat="1" applyFont="1" applyFill="1" applyBorder="1" applyAlignment="1">
      <alignment vertical="center"/>
    </xf>
    <xf numFmtId="3" fontId="10" fillId="5" borderId="32" xfId="0" applyNumberFormat="1" applyFont="1" applyFill="1" applyBorder="1" applyAlignment="1">
      <alignment vertical="center"/>
    </xf>
    <xf numFmtId="3" fontId="4" fillId="24" borderId="1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7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76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76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15" fillId="25" borderId="0" xfId="0" applyFont="1" applyFill="1" applyAlignment="1">
      <alignment horizontal="left" vertical="center" wrapText="1"/>
    </xf>
    <xf numFmtId="4" fontId="4" fillId="4" borderId="19" xfId="0" applyNumberFormat="1" applyFont="1" applyFill="1" applyBorder="1" applyAlignment="1">
      <alignment horizontal="center" wrapText="1"/>
    </xf>
    <xf numFmtId="4" fontId="4" fillId="4" borderId="61" xfId="0" applyNumberFormat="1" applyFont="1" applyFill="1" applyBorder="1" applyAlignment="1">
      <alignment horizont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7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PageLayoutView="0" workbookViewId="0" topLeftCell="A1">
      <pane xSplit="20040" topLeftCell="BQ1" activePane="topLeft" state="split"/>
      <selection pane="topLeft" activeCell="Q2" sqref="Q2"/>
      <selection pane="topRight" activeCell="BQ2" sqref="BQ2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3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1" hidden="1" customWidth="1"/>
    <col min="8" max="8" width="10.7109375" style="28" hidden="1" customWidth="1"/>
    <col min="9" max="9" width="10.8515625" style="28" hidden="1" customWidth="1"/>
    <col min="10" max="10" width="11.8515625" style="27" hidden="1" customWidth="1"/>
    <col min="11" max="11" width="11.7109375" style="121" hidden="1" customWidth="1"/>
    <col min="12" max="12" width="9.421875" style="151" hidden="1" customWidth="1"/>
    <col min="13" max="13" width="10.140625" style="10" hidden="1" customWidth="1"/>
    <col min="14" max="14" width="10.140625" style="28" hidden="1" customWidth="1"/>
    <col min="15" max="15" width="13.8515625" style="192" customWidth="1"/>
    <col min="16" max="16" width="15.421875" style="190" customWidth="1"/>
    <col min="17" max="17" width="19.421875" style="190" customWidth="1"/>
    <col min="18" max="19" width="13.8515625" style="190" customWidth="1"/>
    <col min="20" max="20" width="13.57421875" style="190" bestFit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9.140625" style="27" hidden="1" customWidth="1"/>
    <col min="28" max="28" width="8.00390625" style="27" hidden="1" customWidth="1"/>
    <col min="29" max="29" width="9.140625" style="27" hidden="1" customWidth="1"/>
    <col min="30" max="32" width="11.7109375" style="27" hidden="1" customWidth="1"/>
    <col min="33" max="34" width="11.7109375" style="10" hidden="1" customWidth="1"/>
    <col min="35" max="35" width="11.28125" style="10" hidden="1" customWidth="1"/>
    <col min="36" max="37" width="12.8515625" style="10" hidden="1" customWidth="1"/>
    <col min="38" max="38" width="11.7109375" style="10" hidden="1" customWidth="1"/>
    <col min="39" max="39" width="5.8515625" style="322" hidden="1" customWidth="1"/>
    <col min="40" max="40" width="12.28125" style="10" hidden="1" customWidth="1"/>
    <col min="41" max="68" width="0" style="10" hidden="1" customWidth="1"/>
    <col min="69" max="16384" width="9.140625" style="10" customWidth="1"/>
  </cols>
  <sheetData>
    <row r="1" spans="1:12" ht="13.5" customHeight="1">
      <c r="A1" s="43" t="s">
        <v>1</v>
      </c>
      <c r="B1" s="43"/>
      <c r="C1" s="72"/>
      <c r="D1" s="44"/>
      <c r="L1" s="150"/>
    </row>
    <row r="2" ht="48" customHeight="1"/>
    <row r="3" spans="1:20" ht="15.75" customHeight="1" thickBot="1">
      <c r="A3" s="346" t="s">
        <v>58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</row>
    <row r="4" spans="1:40" s="18" customFormat="1" ht="56.25" customHeight="1" thickBot="1">
      <c r="A4" s="20" t="s">
        <v>2</v>
      </c>
      <c r="B4" s="21" t="s">
        <v>3</v>
      </c>
      <c r="C4" s="127" t="s">
        <v>40</v>
      </c>
      <c r="D4" s="45" t="s">
        <v>37</v>
      </c>
      <c r="E4" s="110" t="s">
        <v>45</v>
      </c>
      <c r="F4" s="111" t="s">
        <v>46</v>
      </c>
      <c r="G4" s="135" t="s">
        <v>54</v>
      </c>
      <c r="H4" s="133" t="s">
        <v>43</v>
      </c>
      <c r="I4" s="256" t="s">
        <v>44</v>
      </c>
      <c r="J4" s="275" t="s">
        <v>80</v>
      </c>
      <c r="K4" s="276" t="s">
        <v>48</v>
      </c>
      <c r="L4" s="277" t="s">
        <v>39</v>
      </c>
      <c r="M4" s="278" t="s">
        <v>55</v>
      </c>
      <c r="N4" s="255" t="s">
        <v>61</v>
      </c>
      <c r="O4" s="274" t="s">
        <v>56</v>
      </c>
      <c r="P4" s="340" t="s">
        <v>57</v>
      </c>
      <c r="Q4" s="283" t="s">
        <v>84</v>
      </c>
      <c r="R4" s="321" t="s">
        <v>85</v>
      </c>
      <c r="S4" s="321" t="s">
        <v>86</v>
      </c>
      <c r="T4" s="283" t="s">
        <v>87</v>
      </c>
      <c r="U4" s="260" t="s">
        <v>62</v>
      </c>
      <c r="V4" s="261" t="s">
        <v>63</v>
      </c>
      <c r="W4" s="263" t="s">
        <v>64</v>
      </c>
      <c r="X4" s="260" t="s">
        <v>65</v>
      </c>
      <c r="Y4" s="261" t="s">
        <v>66</v>
      </c>
      <c r="Z4" s="262" t="s">
        <v>67</v>
      </c>
      <c r="AA4" s="260" t="s">
        <v>74</v>
      </c>
      <c r="AB4" s="261" t="s">
        <v>75</v>
      </c>
      <c r="AC4" s="263" t="s">
        <v>76</v>
      </c>
      <c r="AD4" s="260" t="s">
        <v>78</v>
      </c>
      <c r="AE4" s="261" t="s">
        <v>77</v>
      </c>
      <c r="AF4" s="263" t="s">
        <v>79</v>
      </c>
      <c r="AG4" s="110" t="s">
        <v>68</v>
      </c>
      <c r="AH4" s="111" t="s">
        <v>69</v>
      </c>
      <c r="AI4" s="296" t="s">
        <v>70</v>
      </c>
      <c r="AJ4" s="133" t="s">
        <v>71</v>
      </c>
      <c r="AK4" s="134" t="s">
        <v>72</v>
      </c>
      <c r="AL4" s="270" t="s">
        <v>73</v>
      </c>
      <c r="AM4" s="323" t="s">
        <v>61</v>
      </c>
      <c r="AN4" s="315" t="s">
        <v>83</v>
      </c>
    </row>
    <row r="5" spans="1:40" s="1" customFormat="1" ht="18.75" customHeight="1">
      <c r="A5" s="341" t="s">
        <v>7</v>
      </c>
      <c r="B5" s="7" t="s">
        <v>4</v>
      </c>
      <c r="C5" s="80">
        <f>2843980+8400000+300000+300000</f>
        <v>11843980</v>
      </c>
      <c r="D5" s="47">
        <v>2085176</v>
      </c>
      <c r="E5" s="100">
        <v>11608682.78</v>
      </c>
      <c r="F5" s="101">
        <v>11742482.05</v>
      </c>
      <c r="G5" s="136">
        <v>13080765.34</v>
      </c>
      <c r="H5" s="128">
        <v>101497.94999999925</v>
      </c>
      <c r="I5" s="95"/>
      <c r="J5" s="239">
        <v>2219496.19</v>
      </c>
      <c r="K5" s="225">
        <v>967390.2316666666</v>
      </c>
      <c r="L5" s="163"/>
      <c r="M5" s="180"/>
      <c r="N5" s="257"/>
      <c r="O5" s="202">
        <v>2697650</v>
      </c>
      <c r="P5" s="212">
        <v>5525420</v>
      </c>
      <c r="Q5" s="218">
        <f>O5+P5</f>
        <v>8223070</v>
      </c>
      <c r="R5" s="212">
        <v>2900000</v>
      </c>
      <c r="S5" s="212">
        <f>Q5-O5-R5</f>
        <v>2625420</v>
      </c>
      <c r="T5" s="218"/>
      <c r="U5" s="264">
        <v>810230.7</v>
      </c>
      <c r="V5" s="265">
        <v>292736.3</v>
      </c>
      <c r="W5" s="266">
        <v>82025.8</v>
      </c>
      <c r="X5" s="264">
        <v>709466.35</v>
      </c>
      <c r="Y5" s="265">
        <v>919177.87</v>
      </c>
      <c r="Z5" s="266">
        <v>538145.91</v>
      </c>
      <c r="AA5" s="264"/>
      <c r="AB5" s="265"/>
      <c r="AC5" s="266"/>
      <c r="AD5" s="264">
        <f aca="true" t="shared" si="0" ref="AD5:AF6">U5+X5+AA5</f>
        <v>1519697.0499999998</v>
      </c>
      <c r="AE5" s="265">
        <f t="shared" si="0"/>
        <v>1211914.17</v>
      </c>
      <c r="AF5" s="266">
        <f t="shared" si="0"/>
        <v>620171.7100000001</v>
      </c>
      <c r="AG5" s="297">
        <f aca="true" t="shared" si="1" ref="AG5:AI6">AD5</f>
        <v>1519697.0499999998</v>
      </c>
      <c r="AH5" s="298">
        <f t="shared" si="1"/>
        <v>1211914.17</v>
      </c>
      <c r="AI5" s="299">
        <f t="shared" si="1"/>
        <v>620171.7100000001</v>
      </c>
      <c r="AJ5" s="31">
        <f>Q5-AH5</f>
        <v>7011155.83</v>
      </c>
      <c r="AK5" s="294"/>
      <c r="AL5" s="31">
        <f>J5+AH5-AG5</f>
        <v>1911713.31</v>
      </c>
      <c r="AM5" s="324"/>
      <c r="AN5" s="316">
        <f>AH5-O5</f>
        <v>-1485735.83</v>
      </c>
    </row>
    <row r="6" spans="1:40" s="1" customFormat="1" ht="18.75" customHeight="1" thickBot="1">
      <c r="A6" s="342"/>
      <c r="B6" s="22" t="s">
        <v>5</v>
      </c>
      <c r="C6" s="84">
        <f>2550000+7472360-300000</f>
        <v>9722360</v>
      </c>
      <c r="D6" s="51"/>
      <c r="E6" s="104">
        <v>9768801.15</v>
      </c>
      <c r="F6" s="105">
        <v>0</v>
      </c>
      <c r="G6" s="141">
        <v>0</v>
      </c>
      <c r="H6" s="130"/>
      <c r="I6" s="97">
        <v>-46441.15000000037</v>
      </c>
      <c r="J6" s="89"/>
      <c r="K6" s="224">
        <v>814066.7625000001</v>
      </c>
      <c r="L6" s="164">
        <v>84020</v>
      </c>
      <c r="M6" s="179"/>
      <c r="N6" s="257"/>
      <c r="O6" s="203">
        <v>2700000</v>
      </c>
      <c r="P6" s="213">
        <v>5000000</v>
      </c>
      <c r="Q6" s="219">
        <f>O6+P6</f>
        <v>7700000</v>
      </c>
      <c r="R6" s="213">
        <v>2500000</v>
      </c>
      <c r="S6" s="213">
        <f>Q6-O6-R6</f>
        <v>2500000</v>
      </c>
      <c r="T6" s="219"/>
      <c r="U6" s="267">
        <v>888954.14</v>
      </c>
      <c r="V6" s="268"/>
      <c r="W6" s="269"/>
      <c r="X6" s="267">
        <v>709466.35</v>
      </c>
      <c r="Y6" s="268"/>
      <c r="Z6" s="269"/>
      <c r="AA6" s="267"/>
      <c r="AB6" s="268"/>
      <c r="AC6" s="269"/>
      <c r="AD6" s="267">
        <f t="shared" si="0"/>
        <v>1598420.49</v>
      </c>
      <c r="AE6" s="268">
        <f t="shared" si="0"/>
        <v>0</v>
      </c>
      <c r="AF6" s="269">
        <f t="shared" si="0"/>
        <v>0</v>
      </c>
      <c r="AG6" s="300">
        <f t="shared" si="1"/>
        <v>1598420.49</v>
      </c>
      <c r="AH6" s="301">
        <f t="shared" si="1"/>
        <v>0</v>
      </c>
      <c r="AI6" s="302">
        <f t="shared" si="1"/>
        <v>0</v>
      </c>
      <c r="AJ6" s="32"/>
      <c r="AK6" s="295">
        <f>Q6-AG6</f>
        <v>6101579.51</v>
      </c>
      <c r="AL6" s="32"/>
      <c r="AM6" s="324"/>
      <c r="AN6" s="32">
        <f>AG6-O6</f>
        <v>-1101579.51</v>
      </c>
    </row>
    <row r="7" spans="1:40" s="1" customFormat="1" ht="24" customHeight="1" thickBot="1">
      <c r="A7" s="352" t="s">
        <v>41</v>
      </c>
      <c r="B7" s="353"/>
      <c r="C7" s="83">
        <f aca="true" t="shared" si="2" ref="C7:I7">C5+C6</f>
        <v>21566340</v>
      </c>
      <c r="D7" s="251">
        <f t="shared" si="2"/>
        <v>2085176</v>
      </c>
      <c r="E7" s="251">
        <f t="shared" si="2"/>
        <v>21377483.93</v>
      </c>
      <c r="F7" s="251">
        <f t="shared" si="2"/>
        <v>11742482.05</v>
      </c>
      <c r="G7" s="251">
        <f t="shared" si="2"/>
        <v>13080765.34</v>
      </c>
      <c r="H7" s="251">
        <f t="shared" si="2"/>
        <v>101497.94999999925</v>
      </c>
      <c r="I7" s="251">
        <f t="shared" si="2"/>
        <v>-46441.15000000037</v>
      </c>
      <c r="J7" s="251"/>
      <c r="K7" s="251">
        <f>K5+K6</f>
        <v>1781456.9941666666</v>
      </c>
      <c r="L7" s="251">
        <f>L5+L6</f>
        <v>84020</v>
      </c>
      <c r="M7" s="252">
        <f>F5+E6+L6-C7</f>
        <v>28963.20000000298</v>
      </c>
      <c r="N7" s="258">
        <v>28963.2</v>
      </c>
      <c r="O7" s="251">
        <f aca="true" t="shared" si="3" ref="O7:AL7">O5+O6</f>
        <v>5397650</v>
      </c>
      <c r="P7" s="251">
        <f t="shared" si="3"/>
        <v>10525420</v>
      </c>
      <c r="Q7" s="331">
        <f t="shared" si="3"/>
        <v>15923070</v>
      </c>
      <c r="R7" s="284">
        <f t="shared" si="3"/>
        <v>5400000</v>
      </c>
      <c r="S7" s="284">
        <f t="shared" si="3"/>
        <v>5125420</v>
      </c>
      <c r="T7" s="284">
        <f t="shared" si="3"/>
        <v>0</v>
      </c>
      <c r="U7" s="307">
        <f t="shared" si="3"/>
        <v>1699184.8399999999</v>
      </c>
      <c r="V7" s="307">
        <f t="shared" si="3"/>
        <v>292736.3</v>
      </c>
      <c r="W7" s="307">
        <f t="shared" si="3"/>
        <v>82025.8</v>
      </c>
      <c r="X7" s="307">
        <f t="shared" si="3"/>
        <v>1418932.7</v>
      </c>
      <c r="Y7" s="307">
        <f t="shared" si="3"/>
        <v>919177.87</v>
      </c>
      <c r="Z7" s="307">
        <f t="shared" si="3"/>
        <v>538145.91</v>
      </c>
      <c r="AA7" s="307">
        <f t="shared" si="3"/>
        <v>0</v>
      </c>
      <c r="AB7" s="307">
        <f t="shared" si="3"/>
        <v>0</v>
      </c>
      <c r="AC7" s="307">
        <f t="shared" si="3"/>
        <v>0</v>
      </c>
      <c r="AD7" s="307">
        <f t="shared" si="3"/>
        <v>3118117.54</v>
      </c>
      <c r="AE7" s="307">
        <f t="shared" si="3"/>
        <v>1211914.17</v>
      </c>
      <c r="AF7" s="307">
        <f t="shared" si="3"/>
        <v>620171.7100000001</v>
      </c>
      <c r="AG7" s="307">
        <f t="shared" si="3"/>
        <v>3118117.54</v>
      </c>
      <c r="AH7" s="307">
        <f t="shared" si="3"/>
        <v>1211914.17</v>
      </c>
      <c r="AI7" s="307">
        <f t="shared" si="3"/>
        <v>620171.7100000001</v>
      </c>
      <c r="AJ7" s="307">
        <f t="shared" si="3"/>
        <v>7011155.83</v>
      </c>
      <c r="AK7" s="307">
        <f t="shared" si="3"/>
        <v>6101579.51</v>
      </c>
      <c r="AL7" s="307">
        <f t="shared" si="3"/>
        <v>1911713.31</v>
      </c>
      <c r="AM7" s="325">
        <v>28963.2</v>
      </c>
      <c r="AN7" s="317">
        <f>AN5+AN6</f>
        <v>-2587315.34</v>
      </c>
    </row>
    <row r="8" spans="1:40" s="1" customFormat="1" ht="18.75" customHeight="1">
      <c r="A8" s="113"/>
      <c r="B8" s="114" t="s">
        <v>32</v>
      </c>
      <c r="C8" s="115">
        <f>442840+4562790-2200000</f>
        <v>2805630</v>
      </c>
      <c r="D8" s="112"/>
      <c r="E8" s="241">
        <v>2212033.89</v>
      </c>
      <c r="F8" s="242">
        <v>0</v>
      </c>
      <c r="G8" s="243">
        <v>0</v>
      </c>
      <c r="H8" s="244">
        <v>593596.11</v>
      </c>
      <c r="I8" s="245">
        <v>593596.11</v>
      </c>
      <c r="J8" s="246"/>
      <c r="K8" s="247">
        <v>184336.1575</v>
      </c>
      <c r="L8" s="161"/>
      <c r="M8" s="248"/>
      <c r="N8" s="257"/>
      <c r="O8" s="249">
        <v>536410</v>
      </c>
      <c r="P8" s="250">
        <v>4476150</v>
      </c>
      <c r="Q8" s="285">
        <f>O8+P8</f>
        <v>5012560</v>
      </c>
      <c r="R8" s="318">
        <v>1500000</v>
      </c>
      <c r="S8" s="318">
        <v>1500000</v>
      </c>
      <c r="T8" s="285">
        <f>Q8-O8-R8-S8</f>
        <v>1476150</v>
      </c>
      <c r="U8" s="267">
        <v>325215.12</v>
      </c>
      <c r="V8" s="268"/>
      <c r="W8" s="269"/>
      <c r="X8" s="267">
        <v>187155.56</v>
      </c>
      <c r="Y8" s="268"/>
      <c r="Z8" s="269"/>
      <c r="AA8" s="267"/>
      <c r="AB8" s="268"/>
      <c r="AC8" s="269"/>
      <c r="AD8" s="267">
        <f aca="true" t="shared" si="4" ref="AD8:AF9">U8+X8+AA8</f>
        <v>512370.68</v>
      </c>
      <c r="AE8" s="268">
        <f t="shared" si="4"/>
        <v>0</v>
      </c>
      <c r="AF8" s="269">
        <f t="shared" si="4"/>
        <v>0</v>
      </c>
      <c r="AG8" s="300">
        <f aca="true" t="shared" si="5" ref="AG8:AI9">AD8</f>
        <v>512370.68</v>
      </c>
      <c r="AH8" s="301">
        <f t="shared" si="5"/>
        <v>0</v>
      </c>
      <c r="AI8" s="302">
        <f t="shared" si="5"/>
        <v>0</v>
      </c>
      <c r="AJ8" s="32"/>
      <c r="AK8" s="295">
        <f>Q8-AG8</f>
        <v>4500189.32</v>
      </c>
      <c r="AL8" s="32"/>
      <c r="AM8" s="324"/>
      <c r="AN8" s="32">
        <f>AG8-O8</f>
        <v>-24039.320000000007</v>
      </c>
    </row>
    <row r="9" spans="1:40" s="1" customFormat="1" ht="18.75" customHeight="1" thickBot="1">
      <c r="A9" s="226"/>
      <c r="B9" s="240" t="s">
        <v>59</v>
      </c>
      <c r="C9" s="227"/>
      <c r="D9" s="228"/>
      <c r="E9" s="223"/>
      <c r="F9" s="229"/>
      <c r="G9" s="230"/>
      <c r="H9" s="231"/>
      <c r="I9" s="232"/>
      <c r="J9" s="223">
        <v>0</v>
      </c>
      <c r="K9" s="224"/>
      <c r="L9" s="233"/>
      <c r="M9" s="179"/>
      <c r="N9" s="257"/>
      <c r="O9" s="200">
        <v>165000</v>
      </c>
      <c r="P9" s="211">
        <v>1485000</v>
      </c>
      <c r="Q9" s="286">
        <f>O9+P9</f>
        <v>1650000</v>
      </c>
      <c r="R9" s="319">
        <v>500000</v>
      </c>
      <c r="S9" s="319">
        <v>500000</v>
      </c>
      <c r="T9" s="286">
        <f>Q9-O9-R9-S9</f>
        <v>485000</v>
      </c>
      <c r="U9" s="267">
        <v>0</v>
      </c>
      <c r="V9" s="268">
        <v>54382.37</v>
      </c>
      <c r="W9" s="269"/>
      <c r="X9" s="267">
        <v>13595.59</v>
      </c>
      <c r="Y9" s="268"/>
      <c r="Z9" s="269"/>
      <c r="AA9" s="267"/>
      <c r="AB9" s="268"/>
      <c r="AC9" s="269"/>
      <c r="AD9" s="267">
        <f t="shared" si="4"/>
        <v>13595.59</v>
      </c>
      <c r="AE9" s="268">
        <f t="shared" si="4"/>
        <v>54382.37</v>
      </c>
      <c r="AF9" s="269">
        <f t="shared" si="4"/>
        <v>0</v>
      </c>
      <c r="AG9" s="300">
        <f t="shared" si="5"/>
        <v>13595.59</v>
      </c>
      <c r="AH9" s="301">
        <f t="shared" si="5"/>
        <v>54382.37</v>
      </c>
      <c r="AI9" s="302">
        <f t="shared" si="5"/>
        <v>0</v>
      </c>
      <c r="AJ9" s="32">
        <f>Q9-AH9</f>
        <v>1595617.63</v>
      </c>
      <c r="AK9" s="295"/>
      <c r="AL9" s="32">
        <f>J9+AH9-AG9</f>
        <v>40786.78</v>
      </c>
      <c r="AM9" s="324"/>
      <c r="AN9" s="32">
        <f>AH9-O9</f>
        <v>-110617.63</v>
      </c>
    </row>
    <row r="10" spans="1:40" s="1" customFormat="1" ht="23.25" customHeight="1" thickBot="1">
      <c r="A10" s="352" t="s">
        <v>60</v>
      </c>
      <c r="B10" s="353"/>
      <c r="C10" s="83">
        <f aca="true" t="shared" si="6" ref="C10:I10">C8+C9</f>
        <v>2805630</v>
      </c>
      <c r="D10" s="251">
        <f t="shared" si="6"/>
        <v>0</v>
      </c>
      <c r="E10" s="251">
        <f t="shared" si="6"/>
        <v>2212033.89</v>
      </c>
      <c r="F10" s="251">
        <f t="shared" si="6"/>
        <v>0</v>
      </c>
      <c r="G10" s="251">
        <f t="shared" si="6"/>
        <v>0</v>
      </c>
      <c r="H10" s="251">
        <f t="shared" si="6"/>
        <v>593596.11</v>
      </c>
      <c r="I10" s="251">
        <f t="shared" si="6"/>
        <v>593596.11</v>
      </c>
      <c r="J10" s="251"/>
      <c r="K10" s="251">
        <f>K8+K9</f>
        <v>184336.1575</v>
      </c>
      <c r="L10" s="251">
        <f>L8+L9</f>
        <v>0</v>
      </c>
      <c r="M10" s="251">
        <f>M8+M9</f>
        <v>0</v>
      </c>
      <c r="N10" s="257"/>
      <c r="O10" s="251">
        <f aca="true" t="shared" si="7" ref="O10:AL10">O8+O9</f>
        <v>701410</v>
      </c>
      <c r="P10" s="251">
        <f t="shared" si="7"/>
        <v>5961150</v>
      </c>
      <c r="Q10" s="330">
        <f t="shared" si="7"/>
        <v>6662560</v>
      </c>
      <c r="R10" s="306">
        <f t="shared" si="7"/>
        <v>2000000</v>
      </c>
      <c r="S10" s="306">
        <f t="shared" si="7"/>
        <v>2000000</v>
      </c>
      <c r="T10" s="306">
        <f t="shared" si="7"/>
        <v>1961150</v>
      </c>
      <c r="U10" s="307">
        <f t="shared" si="7"/>
        <v>325215.12</v>
      </c>
      <c r="V10" s="307">
        <f t="shared" si="7"/>
        <v>54382.37</v>
      </c>
      <c r="W10" s="307">
        <f t="shared" si="7"/>
        <v>0</v>
      </c>
      <c r="X10" s="307">
        <f t="shared" si="7"/>
        <v>200751.15</v>
      </c>
      <c r="Y10" s="307">
        <f t="shared" si="7"/>
        <v>0</v>
      </c>
      <c r="Z10" s="307">
        <f t="shared" si="7"/>
        <v>0</v>
      </c>
      <c r="AA10" s="307">
        <f t="shared" si="7"/>
        <v>0</v>
      </c>
      <c r="AB10" s="307">
        <f t="shared" si="7"/>
        <v>0</v>
      </c>
      <c r="AC10" s="307">
        <f t="shared" si="7"/>
        <v>0</v>
      </c>
      <c r="AD10" s="307">
        <f t="shared" si="7"/>
        <v>525966.27</v>
      </c>
      <c r="AE10" s="307">
        <f t="shared" si="7"/>
        <v>54382.37</v>
      </c>
      <c r="AF10" s="307">
        <f t="shared" si="7"/>
        <v>0</v>
      </c>
      <c r="AG10" s="307">
        <f t="shared" si="7"/>
        <v>525966.27</v>
      </c>
      <c r="AH10" s="307">
        <f t="shared" si="7"/>
        <v>54382.37</v>
      </c>
      <c r="AI10" s="307">
        <f t="shared" si="7"/>
        <v>0</v>
      </c>
      <c r="AJ10" s="307">
        <f t="shared" si="7"/>
        <v>1595617.63</v>
      </c>
      <c r="AK10" s="307">
        <f t="shared" si="7"/>
        <v>4500189.32</v>
      </c>
      <c r="AL10" s="307">
        <f t="shared" si="7"/>
        <v>40786.78</v>
      </c>
      <c r="AM10" s="324"/>
      <c r="AN10" s="317">
        <f>AN8+AN9</f>
        <v>-134656.95</v>
      </c>
    </row>
    <row r="11" spans="1:40" s="1" customFormat="1" ht="18" customHeight="1">
      <c r="A11" s="341" t="s">
        <v>6</v>
      </c>
      <c r="B11" s="7" t="s">
        <v>4</v>
      </c>
      <c r="C11" s="80">
        <f>6000+17500</f>
        <v>23500</v>
      </c>
      <c r="D11" s="50">
        <v>20243.91</v>
      </c>
      <c r="E11" s="234">
        <v>34358.02</v>
      </c>
      <c r="F11" s="235">
        <v>23242.04</v>
      </c>
      <c r="G11" s="236">
        <v>26251.96</v>
      </c>
      <c r="H11" s="237">
        <v>257.9599999999991</v>
      </c>
      <c r="I11" s="238"/>
      <c r="J11" s="239">
        <v>8468.13</v>
      </c>
      <c r="K11" s="225">
        <v>2863.1683333333335</v>
      </c>
      <c r="L11" s="163"/>
      <c r="M11" s="180"/>
      <c r="N11" s="257"/>
      <c r="O11" s="202">
        <v>4500</v>
      </c>
      <c r="P11" s="212">
        <v>19220</v>
      </c>
      <c r="Q11" s="218">
        <f>O11+P11</f>
        <v>23720</v>
      </c>
      <c r="R11" s="212">
        <v>6600</v>
      </c>
      <c r="S11" s="212">
        <v>6600</v>
      </c>
      <c r="T11" s="218">
        <f>Q11-O11-R11-S11</f>
        <v>6020</v>
      </c>
      <c r="U11" s="267">
        <v>2818.54</v>
      </c>
      <c r="V11" s="268"/>
      <c r="W11" s="269">
        <v>3494.03</v>
      </c>
      <c r="X11" s="267">
        <v>1428.82</v>
      </c>
      <c r="Y11" s="268"/>
      <c r="Z11" s="269"/>
      <c r="AA11" s="267"/>
      <c r="AB11" s="268"/>
      <c r="AC11" s="269"/>
      <c r="AD11" s="267">
        <f aca="true" t="shared" si="8" ref="AD11:AF12">U11+X11+AA11</f>
        <v>4247.36</v>
      </c>
      <c r="AE11" s="268">
        <f t="shared" si="8"/>
        <v>0</v>
      </c>
      <c r="AF11" s="269">
        <f t="shared" si="8"/>
        <v>3494.03</v>
      </c>
      <c r="AG11" s="300">
        <f aca="true" t="shared" si="9" ref="AG11:AI12">AD11</f>
        <v>4247.36</v>
      </c>
      <c r="AH11" s="301">
        <f t="shared" si="9"/>
        <v>0</v>
      </c>
      <c r="AI11" s="302">
        <f t="shared" si="9"/>
        <v>3494.03</v>
      </c>
      <c r="AJ11" s="32">
        <f>Q11-AH11</f>
        <v>23720</v>
      </c>
      <c r="AK11" s="295"/>
      <c r="AL11" s="32">
        <f>J11+AH11-AG11</f>
        <v>4220.7699999999995</v>
      </c>
      <c r="AM11" s="324"/>
      <c r="AN11" s="32">
        <f>AH11-O11</f>
        <v>-4500</v>
      </c>
    </row>
    <row r="12" spans="1:40" s="1" customFormat="1" ht="18" customHeight="1" thickBot="1">
      <c r="A12" s="342"/>
      <c r="B12" s="22" t="s">
        <v>5</v>
      </c>
      <c r="C12" s="84">
        <f>2694650+6756950+537830+1774580+1865280+1000000</f>
        <v>14629290</v>
      </c>
      <c r="D12" s="51"/>
      <c r="E12" s="102">
        <v>14694891.51</v>
      </c>
      <c r="F12" s="103">
        <v>0</v>
      </c>
      <c r="G12" s="137">
        <v>0</v>
      </c>
      <c r="H12" s="129"/>
      <c r="I12" s="96">
        <v>-65601.50999999978</v>
      </c>
      <c r="J12" s="88"/>
      <c r="K12" s="125">
        <v>1224574.2925</v>
      </c>
      <c r="L12" s="164">
        <v>88070</v>
      </c>
      <c r="M12" s="179"/>
      <c r="N12" s="257"/>
      <c r="O12" s="203">
        <f>3621090+424410</f>
        <v>4045500</v>
      </c>
      <c r="P12" s="213">
        <f>5963000-424410</f>
        <v>5538590</v>
      </c>
      <c r="Q12" s="219">
        <f>O12+P12</f>
        <v>9584090</v>
      </c>
      <c r="R12" s="213">
        <v>4043400</v>
      </c>
      <c r="S12" s="213">
        <f>Q12-O12-R12</f>
        <v>1495190</v>
      </c>
      <c r="T12" s="219">
        <f>Q12-O12-R12-S12</f>
        <v>0</v>
      </c>
      <c r="U12" s="267">
        <v>1653934.51</v>
      </c>
      <c r="V12" s="268"/>
      <c r="W12" s="269"/>
      <c r="X12" s="267">
        <v>1528790.96</v>
      </c>
      <c r="Y12" s="268"/>
      <c r="Z12" s="269"/>
      <c r="AA12" s="267"/>
      <c r="AB12" s="268"/>
      <c r="AC12" s="269"/>
      <c r="AD12" s="267">
        <f t="shared" si="8"/>
        <v>3182725.4699999997</v>
      </c>
      <c r="AE12" s="268">
        <f t="shared" si="8"/>
        <v>0</v>
      </c>
      <c r="AF12" s="269">
        <f t="shared" si="8"/>
        <v>0</v>
      </c>
      <c r="AG12" s="300">
        <f t="shared" si="9"/>
        <v>3182725.4699999997</v>
      </c>
      <c r="AH12" s="301">
        <f t="shared" si="9"/>
        <v>0</v>
      </c>
      <c r="AI12" s="302">
        <f t="shared" si="9"/>
        <v>0</v>
      </c>
      <c r="AJ12" s="32"/>
      <c r="AK12" s="295">
        <f>Q12-AG12</f>
        <v>6401364.53</v>
      </c>
      <c r="AL12" s="32"/>
      <c r="AM12" s="324"/>
      <c r="AN12" s="32">
        <f>AG12-O12</f>
        <v>-862774.5300000003</v>
      </c>
    </row>
    <row r="13" spans="1:40" s="1" customFormat="1" ht="22.5" customHeight="1" thickBot="1">
      <c r="A13" s="3" t="s">
        <v>8</v>
      </c>
      <c r="B13" s="5" t="s">
        <v>9</v>
      </c>
      <c r="C13" s="83">
        <f>C11+C12</f>
        <v>14652790</v>
      </c>
      <c r="D13" s="33"/>
      <c r="E13" s="69">
        <v>14729249.53</v>
      </c>
      <c r="F13" s="69">
        <v>23242.04</v>
      </c>
      <c r="G13" s="138">
        <v>26251.96</v>
      </c>
      <c r="H13" s="61">
        <v>257.9599999999991</v>
      </c>
      <c r="I13" s="64">
        <v>-65601.50999999978</v>
      </c>
      <c r="J13" s="69"/>
      <c r="K13" s="125">
        <v>1227437.4608333332</v>
      </c>
      <c r="L13" s="162">
        <v>88070</v>
      </c>
      <c r="M13" s="181">
        <v>153413.54999999888</v>
      </c>
      <c r="N13" s="258">
        <v>153413.55</v>
      </c>
      <c r="O13" s="201">
        <f aca="true" t="shared" si="10" ref="O13:AL13">O11+O12</f>
        <v>4050000</v>
      </c>
      <c r="P13" s="201">
        <f t="shared" si="10"/>
        <v>5557810</v>
      </c>
      <c r="Q13" s="332">
        <f t="shared" si="10"/>
        <v>9607810</v>
      </c>
      <c r="R13" s="308">
        <f t="shared" si="10"/>
        <v>4050000</v>
      </c>
      <c r="S13" s="308">
        <f t="shared" si="10"/>
        <v>1501790</v>
      </c>
      <c r="T13" s="308">
        <f t="shared" si="10"/>
        <v>6020</v>
      </c>
      <c r="U13" s="309">
        <f t="shared" si="10"/>
        <v>1656753.05</v>
      </c>
      <c r="V13" s="309">
        <f t="shared" si="10"/>
        <v>0</v>
      </c>
      <c r="W13" s="309">
        <f t="shared" si="10"/>
        <v>3494.03</v>
      </c>
      <c r="X13" s="309">
        <f t="shared" si="10"/>
        <v>1530219.78</v>
      </c>
      <c r="Y13" s="309">
        <f t="shared" si="10"/>
        <v>0</v>
      </c>
      <c r="Z13" s="309">
        <f t="shared" si="10"/>
        <v>0</v>
      </c>
      <c r="AA13" s="309">
        <f t="shared" si="10"/>
        <v>0</v>
      </c>
      <c r="AB13" s="309">
        <f t="shared" si="10"/>
        <v>0</v>
      </c>
      <c r="AC13" s="309">
        <f t="shared" si="10"/>
        <v>0</v>
      </c>
      <c r="AD13" s="309">
        <f t="shared" si="10"/>
        <v>3186972.8299999996</v>
      </c>
      <c r="AE13" s="309">
        <f t="shared" si="10"/>
        <v>0</v>
      </c>
      <c r="AF13" s="309">
        <f t="shared" si="10"/>
        <v>3494.03</v>
      </c>
      <c r="AG13" s="309">
        <f t="shared" si="10"/>
        <v>3186972.8299999996</v>
      </c>
      <c r="AH13" s="309">
        <f t="shared" si="10"/>
        <v>0</v>
      </c>
      <c r="AI13" s="309">
        <f t="shared" si="10"/>
        <v>3494.03</v>
      </c>
      <c r="AJ13" s="309">
        <f t="shared" si="10"/>
        <v>23720</v>
      </c>
      <c r="AK13" s="309">
        <f t="shared" si="10"/>
        <v>6401364.53</v>
      </c>
      <c r="AL13" s="309">
        <f t="shared" si="10"/>
        <v>4220.7699999999995</v>
      </c>
      <c r="AM13" s="325">
        <v>153413.55</v>
      </c>
      <c r="AN13" s="317">
        <f>AN11+AN12</f>
        <v>-867274.5300000003</v>
      </c>
    </row>
    <row r="14" spans="1:40" s="1" customFormat="1" ht="16.5" customHeight="1">
      <c r="A14" s="345" t="s">
        <v>6</v>
      </c>
      <c r="B14" s="7" t="s">
        <v>22</v>
      </c>
      <c r="C14" s="80">
        <v>0</v>
      </c>
      <c r="D14" s="52">
        <v>0</v>
      </c>
      <c r="E14" s="102">
        <v>0</v>
      </c>
      <c r="F14" s="103">
        <v>0</v>
      </c>
      <c r="G14" s="137">
        <v>0</v>
      </c>
      <c r="H14" s="129">
        <v>0</v>
      </c>
      <c r="I14" s="96"/>
      <c r="J14" s="88">
        <v>0</v>
      </c>
      <c r="K14" s="125">
        <v>0</v>
      </c>
      <c r="L14" s="165"/>
      <c r="M14" s="180"/>
      <c r="N14" s="257"/>
      <c r="O14" s="202"/>
      <c r="P14" s="212"/>
      <c r="Q14" s="218">
        <f>O14+P14</f>
        <v>0</v>
      </c>
      <c r="R14" s="212"/>
      <c r="S14" s="212"/>
      <c r="T14" s="218"/>
      <c r="U14" s="267"/>
      <c r="V14" s="268"/>
      <c r="W14" s="269"/>
      <c r="X14" s="267"/>
      <c r="Y14" s="268"/>
      <c r="Z14" s="269"/>
      <c r="AA14" s="267"/>
      <c r="AB14" s="268"/>
      <c r="AC14" s="269"/>
      <c r="AD14" s="267">
        <f aca="true" t="shared" si="11" ref="AD14:AF16">U14+X14+AA14</f>
        <v>0</v>
      </c>
      <c r="AE14" s="268">
        <f t="shared" si="11"/>
        <v>0</v>
      </c>
      <c r="AF14" s="269">
        <f t="shared" si="11"/>
        <v>0</v>
      </c>
      <c r="AG14" s="300">
        <f aca="true" t="shared" si="12" ref="AG14:AI16">AD14</f>
        <v>0</v>
      </c>
      <c r="AH14" s="301">
        <f t="shared" si="12"/>
        <v>0</v>
      </c>
      <c r="AI14" s="302">
        <f t="shared" si="12"/>
        <v>0</v>
      </c>
      <c r="AJ14" s="32">
        <f>Q14-AH14</f>
        <v>0</v>
      </c>
      <c r="AK14" s="295"/>
      <c r="AL14" s="32">
        <f>J14+AH14-AG14</f>
        <v>0</v>
      </c>
      <c r="AM14" s="324"/>
      <c r="AN14" s="159"/>
    </row>
    <row r="15" spans="1:40" s="1" customFormat="1" ht="19.5" customHeight="1">
      <c r="A15" s="345"/>
      <c r="B15" s="7" t="s">
        <v>28</v>
      </c>
      <c r="C15" s="80">
        <f>63250+4610+3420</f>
        <v>71280</v>
      </c>
      <c r="D15" s="52"/>
      <c r="E15" s="102">
        <v>66900</v>
      </c>
      <c r="F15" s="103">
        <v>0</v>
      </c>
      <c r="G15" s="137">
        <v>0</v>
      </c>
      <c r="H15" s="129"/>
      <c r="I15" s="96">
        <v>4380</v>
      </c>
      <c r="J15" s="88"/>
      <c r="K15" s="125">
        <v>5575</v>
      </c>
      <c r="L15" s="165"/>
      <c r="M15" s="159"/>
      <c r="N15" s="257"/>
      <c r="O15" s="199">
        <v>17690</v>
      </c>
      <c r="P15" s="210">
        <v>53050</v>
      </c>
      <c r="Q15" s="217">
        <f>O15+P15</f>
        <v>70740</v>
      </c>
      <c r="R15" s="210">
        <v>18000</v>
      </c>
      <c r="S15" s="210">
        <v>18000</v>
      </c>
      <c r="T15" s="217">
        <f>Q15-O15-R15-S15</f>
        <v>17050</v>
      </c>
      <c r="U15" s="267">
        <v>9060</v>
      </c>
      <c r="V15" s="268"/>
      <c r="W15" s="269"/>
      <c r="X15" s="267">
        <v>3660</v>
      </c>
      <c r="Y15" s="268"/>
      <c r="Z15" s="269"/>
      <c r="AA15" s="267"/>
      <c r="AB15" s="268"/>
      <c r="AC15" s="269"/>
      <c r="AD15" s="267">
        <f t="shared" si="11"/>
        <v>12720</v>
      </c>
      <c r="AE15" s="268">
        <f t="shared" si="11"/>
        <v>0</v>
      </c>
      <c r="AF15" s="269">
        <f t="shared" si="11"/>
        <v>0</v>
      </c>
      <c r="AG15" s="300">
        <f t="shared" si="12"/>
        <v>12720</v>
      </c>
      <c r="AH15" s="301">
        <f t="shared" si="12"/>
        <v>0</v>
      </c>
      <c r="AI15" s="302">
        <f t="shared" si="12"/>
        <v>0</v>
      </c>
      <c r="AJ15" s="32"/>
      <c r="AK15" s="295">
        <f>Q15-AG15</f>
        <v>58020</v>
      </c>
      <c r="AL15" s="32"/>
      <c r="AM15" s="324"/>
      <c r="AN15" s="32">
        <f>AG15-O15</f>
        <v>-4970</v>
      </c>
    </row>
    <row r="16" spans="1:40" s="1" customFormat="1" ht="20.25" customHeight="1" thickBot="1">
      <c r="A16" s="345"/>
      <c r="B16" s="22" t="s">
        <v>29</v>
      </c>
      <c r="C16" s="82">
        <f>1134890+13860+27700+20000</f>
        <v>1196450</v>
      </c>
      <c r="D16" s="53"/>
      <c r="E16" s="102">
        <v>1180421.67</v>
      </c>
      <c r="F16" s="103">
        <v>0</v>
      </c>
      <c r="G16" s="137">
        <v>0</v>
      </c>
      <c r="H16" s="129"/>
      <c r="I16" s="96">
        <v>16028.330000000075</v>
      </c>
      <c r="J16" s="88"/>
      <c r="K16" s="125">
        <v>98368.47249999999</v>
      </c>
      <c r="L16" s="166"/>
      <c r="M16" s="159"/>
      <c r="N16" s="257"/>
      <c r="O16" s="203">
        <v>299120</v>
      </c>
      <c r="P16" s="213">
        <v>897350</v>
      </c>
      <c r="Q16" s="219">
        <f>O16+P16</f>
        <v>1196470</v>
      </c>
      <c r="R16" s="213">
        <v>299500</v>
      </c>
      <c r="S16" s="213">
        <v>299500</v>
      </c>
      <c r="T16" s="219">
        <f>Q16-O16-R16-S16</f>
        <v>298350</v>
      </c>
      <c r="U16" s="267">
        <v>116160</v>
      </c>
      <c r="V16" s="268"/>
      <c r="W16" s="269"/>
      <c r="X16" s="267">
        <v>113736</v>
      </c>
      <c r="Y16" s="268"/>
      <c r="Z16" s="269"/>
      <c r="AA16" s="267"/>
      <c r="AB16" s="268"/>
      <c r="AC16" s="269"/>
      <c r="AD16" s="267">
        <f t="shared" si="11"/>
        <v>229896</v>
      </c>
      <c r="AE16" s="268">
        <f t="shared" si="11"/>
        <v>0</v>
      </c>
      <c r="AF16" s="269">
        <f t="shared" si="11"/>
        <v>0</v>
      </c>
      <c r="AG16" s="300">
        <f t="shared" si="12"/>
        <v>229896</v>
      </c>
      <c r="AH16" s="301">
        <f t="shared" si="12"/>
        <v>0</v>
      </c>
      <c r="AI16" s="302">
        <f t="shared" si="12"/>
        <v>0</v>
      </c>
      <c r="AJ16" s="32"/>
      <c r="AK16" s="295">
        <f>Q16-AG16</f>
        <v>966574</v>
      </c>
      <c r="AL16" s="32"/>
      <c r="AM16" s="324"/>
      <c r="AN16" s="32">
        <f>AG16-O16</f>
        <v>-69224</v>
      </c>
    </row>
    <row r="17" spans="1:40" s="1" customFormat="1" ht="20.25" customHeight="1" thickBot="1">
      <c r="A17" s="3" t="s">
        <v>8</v>
      </c>
      <c r="B17" s="5" t="s">
        <v>11</v>
      </c>
      <c r="C17" s="83">
        <f>C15+C16</f>
        <v>1267730</v>
      </c>
      <c r="D17" s="33"/>
      <c r="E17" s="69">
        <v>1247321.67</v>
      </c>
      <c r="F17" s="69">
        <v>0</v>
      </c>
      <c r="G17" s="138">
        <v>0</v>
      </c>
      <c r="H17" s="61">
        <v>0</v>
      </c>
      <c r="I17" s="64">
        <v>20408.330000000075</v>
      </c>
      <c r="J17" s="69">
        <v>0</v>
      </c>
      <c r="K17" s="125">
        <v>103943.47249999999</v>
      </c>
      <c r="L17" s="167"/>
      <c r="M17" s="159"/>
      <c r="N17" s="257"/>
      <c r="O17" s="201">
        <f aca="true" t="shared" si="13" ref="O17:AL17">O15+O16</f>
        <v>316810</v>
      </c>
      <c r="P17" s="201">
        <f t="shared" si="13"/>
        <v>950400</v>
      </c>
      <c r="Q17" s="333">
        <f t="shared" si="13"/>
        <v>1267210</v>
      </c>
      <c r="R17" s="309">
        <f t="shared" si="13"/>
        <v>317500</v>
      </c>
      <c r="S17" s="309">
        <f t="shared" si="13"/>
        <v>317500</v>
      </c>
      <c r="T17" s="309">
        <f t="shared" si="13"/>
        <v>315400</v>
      </c>
      <c r="U17" s="309">
        <f t="shared" si="13"/>
        <v>125220</v>
      </c>
      <c r="V17" s="309">
        <f t="shared" si="13"/>
        <v>0</v>
      </c>
      <c r="W17" s="309">
        <f t="shared" si="13"/>
        <v>0</v>
      </c>
      <c r="X17" s="309">
        <f t="shared" si="13"/>
        <v>117396</v>
      </c>
      <c r="Y17" s="309">
        <f t="shared" si="13"/>
        <v>0</v>
      </c>
      <c r="Z17" s="309">
        <f t="shared" si="13"/>
        <v>0</v>
      </c>
      <c r="AA17" s="309">
        <f t="shared" si="13"/>
        <v>0</v>
      </c>
      <c r="AB17" s="309">
        <f t="shared" si="13"/>
        <v>0</v>
      </c>
      <c r="AC17" s="309">
        <f t="shared" si="13"/>
        <v>0</v>
      </c>
      <c r="AD17" s="309">
        <f t="shared" si="13"/>
        <v>242616</v>
      </c>
      <c r="AE17" s="309">
        <f t="shared" si="13"/>
        <v>0</v>
      </c>
      <c r="AF17" s="309">
        <f t="shared" si="13"/>
        <v>0</v>
      </c>
      <c r="AG17" s="309">
        <f t="shared" si="13"/>
        <v>242616</v>
      </c>
      <c r="AH17" s="309">
        <f t="shared" si="13"/>
        <v>0</v>
      </c>
      <c r="AI17" s="309">
        <f t="shared" si="13"/>
        <v>0</v>
      </c>
      <c r="AJ17" s="309">
        <f t="shared" si="13"/>
        <v>0</v>
      </c>
      <c r="AK17" s="309">
        <f t="shared" si="13"/>
        <v>1024594</v>
      </c>
      <c r="AL17" s="309">
        <f t="shared" si="13"/>
        <v>0</v>
      </c>
      <c r="AM17" s="324"/>
      <c r="AN17" s="317">
        <f>AN16+AN15</f>
        <v>-74194</v>
      </c>
    </row>
    <row r="18" spans="1:40" s="1" customFormat="1" ht="13.5" customHeight="1" thickBot="1">
      <c r="A18" s="343" t="s">
        <v>10</v>
      </c>
      <c r="B18" s="344"/>
      <c r="C18" s="83">
        <f>C13+C14+C17</f>
        <v>15920520</v>
      </c>
      <c r="D18" s="54"/>
      <c r="E18" s="70">
        <v>15976571.2</v>
      </c>
      <c r="F18" s="70">
        <v>23242.04</v>
      </c>
      <c r="G18" s="139">
        <v>26251.96</v>
      </c>
      <c r="H18" s="62">
        <v>257.9599999999991</v>
      </c>
      <c r="I18" s="65">
        <v>-45193.1799999997</v>
      </c>
      <c r="J18" s="70"/>
      <c r="K18" s="125">
        <v>1331380.9333333333</v>
      </c>
      <c r="L18" s="168">
        <v>88070</v>
      </c>
      <c r="M18" s="159"/>
      <c r="N18" s="257"/>
      <c r="O18" s="202"/>
      <c r="P18" s="212"/>
      <c r="Q18" s="218">
        <f>O18+P18</f>
        <v>0</v>
      </c>
      <c r="R18" s="212"/>
      <c r="S18" s="212"/>
      <c r="T18" s="218"/>
      <c r="U18" s="267"/>
      <c r="V18" s="268"/>
      <c r="W18" s="269"/>
      <c r="X18" s="267"/>
      <c r="Y18" s="268"/>
      <c r="Z18" s="269"/>
      <c r="AA18" s="267"/>
      <c r="AB18" s="268"/>
      <c r="AC18" s="269"/>
      <c r="AD18" s="267">
        <f aca="true" t="shared" si="14" ref="AD18:AF20">U18+X18+AA18</f>
        <v>0</v>
      </c>
      <c r="AE18" s="268">
        <f t="shared" si="14"/>
        <v>0</v>
      </c>
      <c r="AF18" s="269">
        <f t="shared" si="14"/>
        <v>0</v>
      </c>
      <c r="AG18" s="300">
        <f aca="true" t="shared" si="15" ref="AG18:AI20">AD18</f>
        <v>0</v>
      </c>
      <c r="AH18" s="301">
        <f t="shared" si="15"/>
        <v>0</v>
      </c>
      <c r="AI18" s="302">
        <f t="shared" si="15"/>
        <v>0</v>
      </c>
      <c r="AJ18" s="32">
        <f>Q18-AH18</f>
        <v>0</v>
      </c>
      <c r="AK18" s="295">
        <f>Q18-AG18</f>
        <v>0</v>
      </c>
      <c r="AL18" s="32"/>
      <c r="AM18" s="324"/>
      <c r="AN18" s="159"/>
    </row>
    <row r="19" spans="1:40" s="1" customFormat="1" ht="18" customHeight="1">
      <c r="A19" s="341" t="s">
        <v>34</v>
      </c>
      <c r="B19" s="7" t="s">
        <v>12</v>
      </c>
      <c r="C19" s="80">
        <f>624390-400000-100000</f>
        <v>124390</v>
      </c>
      <c r="D19" s="50">
        <v>32495.08</v>
      </c>
      <c r="E19" s="102">
        <v>78310.42</v>
      </c>
      <c r="F19" s="103">
        <v>124153.7</v>
      </c>
      <c r="G19" s="137">
        <v>94484.25</v>
      </c>
      <c r="H19" s="129">
        <v>236.3000000000029</v>
      </c>
      <c r="I19" s="96"/>
      <c r="J19" s="88">
        <v>78338.37</v>
      </c>
      <c r="K19" s="125">
        <v>6525.868333333333</v>
      </c>
      <c r="L19" s="163"/>
      <c r="M19" s="159"/>
      <c r="N19" s="257"/>
      <c r="O19" s="199">
        <v>24970</v>
      </c>
      <c r="P19" s="210">
        <v>74910</v>
      </c>
      <c r="Q19" s="217">
        <f>O19+P19</f>
        <v>99880</v>
      </c>
      <c r="R19" s="210">
        <v>25000</v>
      </c>
      <c r="S19" s="210">
        <v>25000</v>
      </c>
      <c r="T19" s="217">
        <f>Q19-S19-R19-O19</f>
        <v>24910</v>
      </c>
      <c r="U19" s="267">
        <v>0</v>
      </c>
      <c r="V19" s="268"/>
      <c r="W19" s="269">
        <v>26286.93</v>
      </c>
      <c r="X19" s="267">
        <v>6808.14</v>
      </c>
      <c r="Y19" s="268"/>
      <c r="Z19" s="269">
        <v>3364.05</v>
      </c>
      <c r="AA19" s="267"/>
      <c r="AB19" s="268"/>
      <c r="AC19" s="269"/>
      <c r="AD19" s="267">
        <f t="shared" si="14"/>
        <v>6808.14</v>
      </c>
      <c r="AE19" s="268">
        <f t="shared" si="14"/>
        <v>0</v>
      </c>
      <c r="AF19" s="269">
        <f t="shared" si="14"/>
        <v>29650.98</v>
      </c>
      <c r="AG19" s="300">
        <f t="shared" si="15"/>
        <v>6808.14</v>
      </c>
      <c r="AH19" s="301">
        <f t="shared" si="15"/>
        <v>0</v>
      </c>
      <c r="AI19" s="302">
        <f t="shared" si="15"/>
        <v>29650.98</v>
      </c>
      <c r="AJ19" s="32">
        <f>Q19-AH19</f>
        <v>99880</v>
      </c>
      <c r="AK19" s="295"/>
      <c r="AL19" s="32">
        <f>J19+AH19-AG19</f>
        <v>71530.23</v>
      </c>
      <c r="AM19" s="324"/>
      <c r="AN19" s="32">
        <f>AH19-O19</f>
        <v>-24970</v>
      </c>
    </row>
    <row r="20" spans="1:40" s="1" customFormat="1" ht="18" customHeight="1" thickBot="1">
      <c r="A20" s="342"/>
      <c r="B20" s="22" t="s">
        <v>13</v>
      </c>
      <c r="C20" s="82">
        <f>70220+5760+8500</f>
        <v>84480</v>
      </c>
      <c r="D20" s="49">
        <v>27041.07</v>
      </c>
      <c r="E20" s="102">
        <v>97144.14</v>
      </c>
      <c r="F20" s="103">
        <v>82975.35</v>
      </c>
      <c r="G20" s="137">
        <v>77777.28</v>
      </c>
      <c r="H20" s="129">
        <v>1504.6500000000087</v>
      </c>
      <c r="I20" s="96"/>
      <c r="J20" s="88">
        <v>12872.29</v>
      </c>
      <c r="K20" s="125">
        <v>8095.345</v>
      </c>
      <c r="L20" s="169"/>
      <c r="M20" s="179"/>
      <c r="N20" s="257"/>
      <c r="O20" s="203">
        <f>22630+2570</f>
        <v>25200</v>
      </c>
      <c r="P20" s="213">
        <f>67890-2570</f>
        <v>65320</v>
      </c>
      <c r="Q20" s="219">
        <f>O20+P20</f>
        <v>90520</v>
      </c>
      <c r="R20" s="213">
        <v>25200</v>
      </c>
      <c r="S20" s="213">
        <v>25200</v>
      </c>
      <c r="T20" s="217">
        <f>Q20-S20-R20-O20</f>
        <v>14920</v>
      </c>
      <c r="U20" s="267">
        <v>8334.58</v>
      </c>
      <c r="V20" s="268"/>
      <c r="W20" s="269"/>
      <c r="X20" s="267">
        <v>0</v>
      </c>
      <c r="Y20" s="268"/>
      <c r="Z20" s="269">
        <v>20743.84</v>
      </c>
      <c r="AA20" s="267"/>
      <c r="AB20" s="268"/>
      <c r="AC20" s="269"/>
      <c r="AD20" s="267">
        <f t="shared" si="14"/>
        <v>8334.58</v>
      </c>
      <c r="AE20" s="268">
        <f t="shared" si="14"/>
        <v>0</v>
      </c>
      <c r="AF20" s="269">
        <f t="shared" si="14"/>
        <v>20743.84</v>
      </c>
      <c r="AG20" s="300">
        <f t="shared" si="15"/>
        <v>8334.58</v>
      </c>
      <c r="AH20" s="301">
        <f t="shared" si="15"/>
        <v>0</v>
      </c>
      <c r="AI20" s="302">
        <f t="shared" si="15"/>
        <v>20743.84</v>
      </c>
      <c r="AJ20" s="32">
        <f>Q20-AH20</f>
        <v>90520</v>
      </c>
      <c r="AK20" s="295"/>
      <c r="AL20" s="32">
        <f>J20+AH20-AG20</f>
        <v>4537.710000000001</v>
      </c>
      <c r="AM20" s="324"/>
      <c r="AN20" s="32">
        <f>AH20-O20</f>
        <v>-25200</v>
      </c>
    </row>
    <row r="21" spans="1:40" s="1" customFormat="1" ht="19.5" customHeight="1" thickBot="1">
      <c r="A21" s="343" t="s">
        <v>14</v>
      </c>
      <c r="B21" s="344"/>
      <c r="C21" s="83">
        <f>C19+C20</f>
        <v>208870</v>
      </c>
      <c r="D21" s="33">
        <f>D19+D20</f>
        <v>59536.15</v>
      </c>
      <c r="E21" s="69">
        <v>175454.56</v>
      </c>
      <c r="F21" s="69">
        <v>207129.05</v>
      </c>
      <c r="G21" s="138">
        <v>172261.53</v>
      </c>
      <c r="H21" s="61">
        <v>1740.9500000000116</v>
      </c>
      <c r="I21" s="64">
        <v>0</v>
      </c>
      <c r="J21" s="69">
        <v>91210.64</v>
      </c>
      <c r="K21" s="125">
        <v>14621.213333333333</v>
      </c>
      <c r="L21" s="167"/>
      <c r="M21" s="183">
        <v>-1740.9500000000116</v>
      </c>
      <c r="N21" s="257"/>
      <c r="O21" s="201">
        <f aca="true" t="shared" si="16" ref="O21:AL21">O19+O20</f>
        <v>50170</v>
      </c>
      <c r="P21" s="201">
        <f t="shared" si="16"/>
        <v>140230</v>
      </c>
      <c r="Q21" s="334">
        <f t="shared" si="16"/>
        <v>190400</v>
      </c>
      <c r="R21" s="287">
        <f t="shared" si="16"/>
        <v>50200</v>
      </c>
      <c r="S21" s="287">
        <f t="shared" si="16"/>
        <v>50200</v>
      </c>
      <c r="T21" s="287">
        <f t="shared" si="16"/>
        <v>39830</v>
      </c>
      <c r="U21" s="309">
        <f t="shared" si="16"/>
        <v>8334.58</v>
      </c>
      <c r="V21" s="309">
        <f t="shared" si="16"/>
        <v>0</v>
      </c>
      <c r="W21" s="309">
        <f t="shared" si="16"/>
        <v>26286.93</v>
      </c>
      <c r="X21" s="309">
        <f t="shared" si="16"/>
        <v>6808.14</v>
      </c>
      <c r="Y21" s="309">
        <f t="shared" si="16"/>
        <v>0</v>
      </c>
      <c r="Z21" s="309">
        <f t="shared" si="16"/>
        <v>24107.89</v>
      </c>
      <c r="AA21" s="309">
        <f t="shared" si="16"/>
        <v>0</v>
      </c>
      <c r="AB21" s="309">
        <f t="shared" si="16"/>
        <v>0</v>
      </c>
      <c r="AC21" s="309">
        <f t="shared" si="16"/>
        <v>0</v>
      </c>
      <c r="AD21" s="309">
        <f t="shared" si="16"/>
        <v>15142.720000000001</v>
      </c>
      <c r="AE21" s="309">
        <f t="shared" si="16"/>
        <v>0</v>
      </c>
      <c r="AF21" s="309">
        <f t="shared" si="16"/>
        <v>50394.82</v>
      </c>
      <c r="AG21" s="309">
        <f t="shared" si="16"/>
        <v>15142.720000000001</v>
      </c>
      <c r="AH21" s="309">
        <f t="shared" si="16"/>
        <v>0</v>
      </c>
      <c r="AI21" s="309">
        <f t="shared" si="16"/>
        <v>50394.82</v>
      </c>
      <c r="AJ21" s="309">
        <f t="shared" si="16"/>
        <v>190400</v>
      </c>
      <c r="AK21" s="309">
        <f t="shared" si="16"/>
        <v>0</v>
      </c>
      <c r="AL21" s="309">
        <f t="shared" si="16"/>
        <v>76067.94</v>
      </c>
      <c r="AM21" s="324"/>
      <c r="AN21" s="317">
        <f>AN19+AN20</f>
        <v>-50170</v>
      </c>
    </row>
    <row r="22" spans="1:40" s="1" customFormat="1" ht="18" customHeight="1">
      <c r="A22" s="341" t="s">
        <v>33</v>
      </c>
      <c r="B22" s="7" t="s">
        <v>0</v>
      </c>
      <c r="C22" s="80">
        <f>6930+19960-1800+320+3550+1650</f>
        <v>30610</v>
      </c>
      <c r="D22" s="50"/>
      <c r="E22" s="102">
        <v>28400.14</v>
      </c>
      <c r="F22" s="103">
        <v>0</v>
      </c>
      <c r="G22" s="137">
        <v>0</v>
      </c>
      <c r="H22" s="129"/>
      <c r="I22" s="96">
        <v>2209.86</v>
      </c>
      <c r="J22" s="88"/>
      <c r="K22" s="125">
        <v>2366.6783333333333</v>
      </c>
      <c r="L22" s="163"/>
      <c r="M22" s="39">
        <v>-2209.86</v>
      </c>
      <c r="N22" s="257"/>
      <c r="O22" s="202">
        <v>7520</v>
      </c>
      <c r="P22" s="212">
        <v>16550</v>
      </c>
      <c r="Q22" s="218">
        <f aca="true" t="shared" si="17" ref="Q22:Q27">O22+P22</f>
        <v>24070</v>
      </c>
      <c r="R22" s="212">
        <v>7500</v>
      </c>
      <c r="S22" s="212">
        <v>7500</v>
      </c>
      <c r="T22" s="218">
        <f aca="true" t="shared" si="18" ref="T22:T27">Q22-O22-R22-S22</f>
        <v>1550</v>
      </c>
      <c r="U22" s="267">
        <v>2074.65</v>
      </c>
      <c r="V22" s="268"/>
      <c r="W22" s="269"/>
      <c r="X22" s="267">
        <v>3364.29</v>
      </c>
      <c r="Y22" s="268"/>
      <c r="Z22" s="269"/>
      <c r="AA22" s="267"/>
      <c r="AB22" s="268"/>
      <c r="AC22" s="269"/>
      <c r="AD22" s="267">
        <f aca="true" t="shared" si="19" ref="AD22:AF27">U22+X22+AA22</f>
        <v>5438.9400000000005</v>
      </c>
      <c r="AE22" s="268">
        <f t="shared" si="19"/>
        <v>0</v>
      </c>
      <c r="AF22" s="269">
        <f t="shared" si="19"/>
        <v>0</v>
      </c>
      <c r="AG22" s="300">
        <f aca="true" t="shared" si="20" ref="AG22:AI27">AD22</f>
        <v>5438.9400000000005</v>
      </c>
      <c r="AH22" s="301">
        <f t="shared" si="20"/>
        <v>0</v>
      </c>
      <c r="AI22" s="302">
        <f t="shared" si="20"/>
        <v>0</v>
      </c>
      <c r="AJ22" s="32"/>
      <c r="AK22" s="295">
        <f>Q22-AG22</f>
        <v>18631.059999999998</v>
      </c>
      <c r="AL22" s="32"/>
      <c r="AM22" s="324"/>
      <c r="AN22" s="32">
        <f>AG22-O22</f>
        <v>-2081.0599999999995</v>
      </c>
    </row>
    <row r="23" spans="1:40" s="1" customFormat="1" ht="19.5" customHeight="1" thickBot="1">
      <c r="A23" s="345"/>
      <c r="B23" s="24" t="s">
        <v>30</v>
      </c>
      <c r="C23" s="82">
        <f>943490+35400+72000+1000</f>
        <v>1051890</v>
      </c>
      <c r="D23" s="51">
        <v>238686.46</v>
      </c>
      <c r="E23" s="102">
        <v>1193432.27</v>
      </c>
      <c r="F23" s="103">
        <v>1050220.4</v>
      </c>
      <c r="G23" s="137">
        <v>1193446.16</v>
      </c>
      <c r="H23" s="129">
        <v>1669.6000000000931</v>
      </c>
      <c r="I23" s="96"/>
      <c r="J23" s="88">
        <v>95474.58</v>
      </c>
      <c r="K23" s="125">
        <v>99452.68916666666</v>
      </c>
      <c r="L23" s="164"/>
      <c r="M23" s="38">
        <v>-1669.6000000000931</v>
      </c>
      <c r="N23" s="257"/>
      <c r="O23" s="199">
        <v>278280</v>
      </c>
      <c r="P23" s="210">
        <f>612210+8220</f>
        <v>620430</v>
      </c>
      <c r="Q23" s="217">
        <f t="shared" si="17"/>
        <v>898710</v>
      </c>
      <c r="R23" s="210">
        <v>300000</v>
      </c>
      <c r="S23" s="210">
        <v>288330</v>
      </c>
      <c r="T23" s="218">
        <f t="shared" si="18"/>
        <v>32100</v>
      </c>
      <c r="U23" s="267">
        <v>95474.58</v>
      </c>
      <c r="V23" s="268"/>
      <c r="W23" s="269">
        <v>190939.69</v>
      </c>
      <c r="X23" s="267">
        <v>95474.58</v>
      </c>
      <c r="Y23" s="268">
        <v>274489.42</v>
      </c>
      <c r="Z23" s="269">
        <v>9.47</v>
      </c>
      <c r="AA23" s="267"/>
      <c r="AB23" s="268"/>
      <c r="AC23" s="269"/>
      <c r="AD23" s="267">
        <f t="shared" si="19"/>
        <v>190949.16</v>
      </c>
      <c r="AE23" s="268">
        <f t="shared" si="19"/>
        <v>274489.42</v>
      </c>
      <c r="AF23" s="269">
        <f t="shared" si="19"/>
        <v>190949.16</v>
      </c>
      <c r="AG23" s="300">
        <f t="shared" si="20"/>
        <v>190949.16</v>
      </c>
      <c r="AH23" s="301">
        <f t="shared" si="20"/>
        <v>274489.42</v>
      </c>
      <c r="AI23" s="302">
        <f t="shared" si="20"/>
        <v>190949.16</v>
      </c>
      <c r="AJ23" s="32">
        <f>Q23-AH23</f>
        <v>624220.5800000001</v>
      </c>
      <c r="AK23" s="295"/>
      <c r="AL23" s="32">
        <f>J23+AH23-AG23</f>
        <v>179014.84</v>
      </c>
      <c r="AM23" s="324"/>
      <c r="AN23" s="32">
        <f>AH23-O23</f>
        <v>-3790.5800000000163</v>
      </c>
    </row>
    <row r="24" spans="1:40" s="1" customFormat="1" ht="15.75" customHeight="1" thickBot="1">
      <c r="A24" s="345"/>
      <c r="B24" s="25" t="s">
        <v>31</v>
      </c>
      <c r="C24" s="81">
        <f>56500+19760+6400-2400</f>
        <v>80260</v>
      </c>
      <c r="D24" s="48"/>
      <c r="E24" s="102">
        <v>94285.38</v>
      </c>
      <c r="F24" s="103">
        <v>0</v>
      </c>
      <c r="G24" s="137">
        <v>0</v>
      </c>
      <c r="H24" s="129"/>
      <c r="I24" s="178">
        <v>-14025.38</v>
      </c>
      <c r="J24" s="88"/>
      <c r="K24" s="125">
        <v>7857.114999999999</v>
      </c>
      <c r="L24" s="160"/>
      <c r="M24" s="182">
        <v>14025.38</v>
      </c>
      <c r="N24" s="257">
        <v>14025.38</v>
      </c>
      <c r="O24" s="199">
        <f>20900+2680</f>
        <v>23580</v>
      </c>
      <c r="P24" s="210">
        <v>45980</v>
      </c>
      <c r="Q24" s="217">
        <f t="shared" si="17"/>
        <v>69560</v>
      </c>
      <c r="R24" s="210">
        <v>22000</v>
      </c>
      <c r="S24" s="210">
        <v>22000</v>
      </c>
      <c r="T24" s="218">
        <f t="shared" si="18"/>
        <v>1980</v>
      </c>
      <c r="U24" s="267"/>
      <c r="V24" s="268"/>
      <c r="W24" s="269"/>
      <c r="X24" s="267"/>
      <c r="Y24" s="268"/>
      <c r="Z24" s="269"/>
      <c r="AA24" s="267"/>
      <c r="AB24" s="268"/>
      <c r="AC24" s="269"/>
      <c r="AD24" s="267">
        <f t="shared" si="19"/>
        <v>0</v>
      </c>
      <c r="AE24" s="268">
        <f t="shared" si="19"/>
        <v>0</v>
      </c>
      <c r="AF24" s="269">
        <f t="shared" si="19"/>
        <v>0</v>
      </c>
      <c r="AG24" s="300">
        <f t="shared" si="20"/>
        <v>0</v>
      </c>
      <c r="AH24" s="301">
        <f t="shared" si="20"/>
        <v>0</v>
      </c>
      <c r="AI24" s="302">
        <f t="shared" si="20"/>
        <v>0</v>
      </c>
      <c r="AJ24" s="32"/>
      <c r="AK24" s="295">
        <f>Q24-AG24</f>
        <v>69560</v>
      </c>
      <c r="AL24" s="32"/>
      <c r="AM24" s="324">
        <v>14025.38</v>
      </c>
      <c r="AN24" s="32">
        <f>AG24-O24</f>
        <v>-23580</v>
      </c>
    </row>
    <row r="25" spans="1:40" s="1" customFormat="1" ht="15.75" customHeight="1">
      <c r="A25" s="345"/>
      <c r="B25" s="25" t="s">
        <v>49</v>
      </c>
      <c r="C25" s="81">
        <f>199230+392040+580000-13400</f>
        <v>1157870</v>
      </c>
      <c r="D25" s="48"/>
      <c r="E25" s="102">
        <v>1157822.64</v>
      </c>
      <c r="F25" s="103"/>
      <c r="G25" s="137"/>
      <c r="H25" s="129"/>
      <c r="I25" s="96">
        <v>47.359999999869615</v>
      </c>
      <c r="J25" s="88"/>
      <c r="K25" s="125">
        <v>96485.22</v>
      </c>
      <c r="L25" s="160"/>
      <c r="M25" s="31">
        <v>-47.359999999869615</v>
      </c>
      <c r="N25" s="257"/>
      <c r="O25" s="199">
        <v>591270</v>
      </c>
      <c r="P25" s="210">
        <v>1285370</v>
      </c>
      <c r="Q25" s="217">
        <f t="shared" si="17"/>
        <v>1876640</v>
      </c>
      <c r="R25" s="210">
        <v>580000</v>
      </c>
      <c r="S25" s="210">
        <v>580000</v>
      </c>
      <c r="T25" s="218">
        <f t="shared" si="18"/>
        <v>125370</v>
      </c>
      <c r="U25" s="267">
        <v>192970.44</v>
      </c>
      <c r="V25" s="268"/>
      <c r="W25" s="269"/>
      <c r="X25" s="267">
        <v>192970.44</v>
      </c>
      <c r="Y25" s="268"/>
      <c r="Z25" s="269"/>
      <c r="AA25" s="267"/>
      <c r="AB25" s="268"/>
      <c r="AC25" s="269"/>
      <c r="AD25" s="267">
        <f t="shared" si="19"/>
        <v>385940.88</v>
      </c>
      <c r="AE25" s="268">
        <f t="shared" si="19"/>
        <v>0</v>
      </c>
      <c r="AF25" s="269">
        <f t="shared" si="19"/>
        <v>0</v>
      </c>
      <c r="AG25" s="300">
        <f t="shared" si="20"/>
        <v>385940.88</v>
      </c>
      <c r="AH25" s="301">
        <f t="shared" si="20"/>
        <v>0</v>
      </c>
      <c r="AI25" s="302">
        <f t="shared" si="20"/>
        <v>0</v>
      </c>
      <c r="AJ25" s="32"/>
      <c r="AK25" s="295">
        <f>Q25-AG25</f>
        <v>1490699.12</v>
      </c>
      <c r="AL25" s="32"/>
      <c r="AM25" s="324"/>
      <c r="AN25" s="32">
        <f>AG25-O25</f>
        <v>-205329.12</v>
      </c>
    </row>
    <row r="26" spans="1:40" s="1" customFormat="1" ht="15.75" customHeight="1" thickBot="1">
      <c r="A26" s="345"/>
      <c r="B26" s="25" t="s">
        <v>38</v>
      </c>
      <c r="C26" s="81">
        <f>1510+22950+2420-9260+5030</f>
        <v>22650</v>
      </c>
      <c r="D26" s="48"/>
      <c r="E26" s="102">
        <v>22644.9</v>
      </c>
      <c r="F26" s="103">
        <v>0</v>
      </c>
      <c r="G26" s="137">
        <v>0</v>
      </c>
      <c r="H26" s="129"/>
      <c r="I26" s="187">
        <v>5.100000000002183</v>
      </c>
      <c r="J26" s="88"/>
      <c r="K26" s="125">
        <v>1887.075</v>
      </c>
      <c r="L26" s="160"/>
      <c r="M26" s="185">
        <v>-5.100000000002183</v>
      </c>
      <c r="N26" s="257"/>
      <c r="O26" s="199">
        <f>4840</f>
        <v>4840</v>
      </c>
      <c r="P26" s="210">
        <f>10660+2720</f>
        <v>13380</v>
      </c>
      <c r="Q26" s="217">
        <f t="shared" si="17"/>
        <v>18220</v>
      </c>
      <c r="R26" s="210">
        <v>7500</v>
      </c>
      <c r="S26" s="210">
        <f>Q26-O26-R26</f>
        <v>5880</v>
      </c>
      <c r="T26" s="218">
        <f t="shared" si="18"/>
        <v>0</v>
      </c>
      <c r="U26" s="267">
        <v>2516.1</v>
      </c>
      <c r="V26" s="268"/>
      <c r="W26" s="269"/>
      <c r="X26" s="267"/>
      <c r="Y26" s="268"/>
      <c r="Z26" s="269"/>
      <c r="AA26" s="267"/>
      <c r="AB26" s="268"/>
      <c r="AC26" s="269"/>
      <c r="AD26" s="267">
        <f t="shared" si="19"/>
        <v>2516.1</v>
      </c>
      <c r="AE26" s="268">
        <f t="shared" si="19"/>
        <v>0</v>
      </c>
      <c r="AF26" s="269">
        <f t="shared" si="19"/>
        <v>0</v>
      </c>
      <c r="AG26" s="300">
        <f t="shared" si="20"/>
        <v>2516.1</v>
      </c>
      <c r="AH26" s="301">
        <f t="shared" si="20"/>
        <v>0</v>
      </c>
      <c r="AI26" s="302">
        <f t="shared" si="20"/>
        <v>0</v>
      </c>
      <c r="AJ26" s="32"/>
      <c r="AK26" s="295">
        <f>Q26-AG26</f>
        <v>15703.9</v>
      </c>
      <c r="AL26" s="32"/>
      <c r="AM26" s="324"/>
      <c r="AN26" s="32">
        <f>AG26-O26</f>
        <v>-2323.9</v>
      </c>
    </row>
    <row r="27" spans="1:40" s="1" customFormat="1" ht="21.75" customHeight="1" thickBot="1">
      <c r="A27" s="342"/>
      <c r="B27" s="24" t="s">
        <v>15</v>
      </c>
      <c r="C27" s="82">
        <f>286810+34430+25500+28650-4150-5030</f>
        <v>366210</v>
      </c>
      <c r="D27" s="49"/>
      <c r="E27" s="102">
        <v>376227.37</v>
      </c>
      <c r="F27" s="103">
        <v>0</v>
      </c>
      <c r="G27" s="137">
        <v>0</v>
      </c>
      <c r="H27" s="129"/>
      <c r="I27" s="178">
        <v>-10017.37</v>
      </c>
      <c r="J27" s="88"/>
      <c r="K27" s="125">
        <v>31352.280833333334</v>
      </c>
      <c r="L27" s="169"/>
      <c r="M27" s="181">
        <v>10017.37</v>
      </c>
      <c r="N27" s="257">
        <v>10017.37</v>
      </c>
      <c r="O27" s="203">
        <f>93110</f>
        <v>93110</v>
      </c>
      <c r="P27" s="213">
        <f>204830+2890</f>
        <v>207720</v>
      </c>
      <c r="Q27" s="219">
        <f t="shared" si="17"/>
        <v>300830</v>
      </c>
      <c r="R27" s="213">
        <v>96000</v>
      </c>
      <c r="S27" s="213">
        <v>96000</v>
      </c>
      <c r="T27" s="218">
        <f t="shared" si="18"/>
        <v>15720</v>
      </c>
      <c r="U27" s="267">
        <v>27650.41</v>
      </c>
      <c r="V27" s="268"/>
      <c r="W27" s="269"/>
      <c r="X27" s="267">
        <v>22648.24</v>
      </c>
      <c r="Y27" s="268"/>
      <c r="Z27" s="269"/>
      <c r="AA27" s="267"/>
      <c r="AB27" s="268"/>
      <c r="AC27" s="269"/>
      <c r="AD27" s="267">
        <f t="shared" si="19"/>
        <v>50298.65</v>
      </c>
      <c r="AE27" s="268">
        <f t="shared" si="19"/>
        <v>0</v>
      </c>
      <c r="AF27" s="269">
        <f t="shared" si="19"/>
        <v>0</v>
      </c>
      <c r="AG27" s="300">
        <f t="shared" si="20"/>
        <v>50298.65</v>
      </c>
      <c r="AH27" s="301">
        <f t="shared" si="20"/>
        <v>0</v>
      </c>
      <c r="AI27" s="302">
        <f t="shared" si="20"/>
        <v>0</v>
      </c>
      <c r="AJ27" s="32"/>
      <c r="AK27" s="295">
        <f>Q27-AG27</f>
        <v>250531.35</v>
      </c>
      <c r="AL27" s="32"/>
      <c r="AM27" s="324">
        <v>10017.37</v>
      </c>
      <c r="AN27" s="32">
        <f>AG27-O27</f>
        <v>-42811.35</v>
      </c>
    </row>
    <row r="28" spans="1:40" s="1" customFormat="1" ht="19.5" customHeight="1" thickBot="1">
      <c r="A28" s="343" t="s">
        <v>16</v>
      </c>
      <c r="B28" s="344"/>
      <c r="C28" s="83">
        <f>SUM(C22:C27)</f>
        <v>2709490</v>
      </c>
      <c r="D28" s="4">
        <f>SUM(D22:D27)</f>
        <v>238686.46</v>
      </c>
      <c r="E28" s="71">
        <v>2872812.7</v>
      </c>
      <c r="F28" s="71">
        <v>1050220.4</v>
      </c>
      <c r="G28" s="140">
        <v>1193446.16</v>
      </c>
      <c r="H28" s="63">
        <v>1669.6000000000931</v>
      </c>
      <c r="I28" s="8">
        <v>-21780.430000000113</v>
      </c>
      <c r="J28" s="71"/>
      <c r="K28" s="125">
        <v>239401.05833333332</v>
      </c>
      <c r="L28" s="167"/>
      <c r="M28" s="184">
        <v>20110.83</v>
      </c>
      <c r="N28" s="258">
        <f>N24+N27</f>
        <v>24042.75</v>
      </c>
      <c r="O28" s="201">
        <f aca="true" t="shared" si="21" ref="O28:AL28">O22+O23+O24+O25+O26+O27</f>
        <v>998600</v>
      </c>
      <c r="P28" s="201">
        <f t="shared" si="21"/>
        <v>2189430</v>
      </c>
      <c r="Q28" s="334">
        <f t="shared" si="21"/>
        <v>3188030</v>
      </c>
      <c r="R28" s="287">
        <f t="shared" si="21"/>
        <v>1013000</v>
      </c>
      <c r="S28" s="287">
        <f t="shared" si="21"/>
        <v>999710</v>
      </c>
      <c r="T28" s="287">
        <f t="shared" si="21"/>
        <v>176720</v>
      </c>
      <c r="U28" s="309">
        <f t="shared" si="21"/>
        <v>320686.17999999993</v>
      </c>
      <c r="V28" s="309">
        <f t="shared" si="21"/>
        <v>0</v>
      </c>
      <c r="W28" s="309">
        <f t="shared" si="21"/>
        <v>190939.69</v>
      </c>
      <c r="X28" s="309">
        <f t="shared" si="21"/>
        <v>314457.55</v>
      </c>
      <c r="Y28" s="309">
        <f t="shared" si="21"/>
        <v>274489.42</v>
      </c>
      <c r="Z28" s="309">
        <f t="shared" si="21"/>
        <v>9.47</v>
      </c>
      <c r="AA28" s="309">
        <f t="shared" si="21"/>
        <v>0</v>
      </c>
      <c r="AB28" s="309">
        <f t="shared" si="21"/>
        <v>0</v>
      </c>
      <c r="AC28" s="309">
        <f t="shared" si="21"/>
        <v>0</v>
      </c>
      <c r="AD28" s="309">
        <f t="shared" si="21"/>
        <v>635143.73</v>
      </c>
      <c r="AE28" s="309">
        <f t="shared" si="21"/>
        <v>274489.42</v>
      </c>
      <c r="AF28" s="309">
        <f t="shared" si="21"/>
        <v>190949.16</v>
      </c>
      <c r="AG28" s="309">
        <f t="shared" si="21"/>
        <v>635143.73</v>
      </c>
      <c r="AH28" s="309">
        <f t="shared" si="21"/>
        <v>274489.42</v>
      </c>
      <c r="AI28" s="309">
        <f t="shared" si="21"/>
        <v>190949.16</v>
      </c>
      <c r="AJ28" s="309">
        <f t="shared" si="21"/>
        <v>624220.5800000001</v>
      </c>
      <c r="AK28" s="309">
        <f t="shared" si="21"/>
        <v>1845125.4300000002</v>
      </c>
      <c r="AL28" s="309">
        <f t="shared" si="21"/>
        <v>179014.84</v>
      </c>
      <c r="AM28" s="325">
        <f>AM24+AM27</f>
        <v>24042.75</v>
      </c>
      <c r="AN28" s="317">
        <f>AN22+AN23+AN24+AN25+AN26+AN27</f>
        <v>-279916.01</v>
      </c>
    </row>
    <row r="29" spans="1:40" s="1" customFormat="1" ht="17.25" customHeight="1">
      <c r="A29" s="341" t="s">
        <v>17</v>
      </c>
      <c r="B29" s="7" t="s">
        <v>24</v>
      </c>
      <c r="C29" s="80">
        <v>0</v>
      </c>
      <c r="D29" s="50"/>
      <c r="E29" s="102">
        <v>0</v>
      </c>
      <c r="F29" s="103">
        <v>0</v>
      </c>
      <c r="G29" s="137">
        <v>8403.31</v>
      </c>
      <c r="H29" s="129"/>
      <c r="I29" s="96">
        <v>0</v>
      </c>
      <c r="J29" s="88"/>
      <c r="K29" s="125">
        <v>0</v>
      </c>
      <c r="L29" s="163"/>
      <c r="M29" s="159"/>
      <c r="N29" s="257"/>
      <c r="O29" s="202"/>
      <c r="P29" s="212"/>
      <c r="Q29" s="218">
        <f>O29+P29</f>
        <v>0</v>
      </c>
      <c r="R29" s="212"/>
      <c r="S29" s="212"/>
      <c r="T29" s="218"/>
      <c r="U29" s="267"/>
      <c r="V29" s="268"/>
      <c r="W29" s="269"/>
      <c r="X29" s="267"/>
      <c r="Y29" s="268"/>
      <c r="Z29" s="269"/>
      <c r="AA29" s="267"/>
      <c r="AB29" s="268"/>
      <c r="AC29" s="269"/>
      <c r="AD29" s="267">
        <f aca="true" t="shared" si="22" ref="AD29:AF31">U29+X29+AA29</f>
        <v>0</v>
      </c>
      <c r="AE29" s="268">
        <f t="shared" si="22"/>
        <v>0</v>
      </c>
      <c r="AF29" s="269">
        <f t="shared" si="22"/>
        <v>0</v>
      </c>
      <c r="AG29" s="300">
        <f aca="true" t="shared" si="23" ref="AG29:AI31">AD29</f>
        <v>0</v>
      </c>
      <c r="AH29" s="301">
        <f t="shared" si="23"/>
        <v>0</v>
      </c>
      <c r="AI29" s="302">
        <f t="shared" si="23"/>
        <v>0</v>
      </c>
      <c r="AJ29" s="32"/>
      <c r="AK29" s="295"/>
      <c r="AL29" s="32"/>
      <c r="AM29" s="324"/>
      <c r="AN29" s="159"/>
    </row>
    <row r="30" spans="1:40" s="1" customFormat="1" ht="17.25" customHeight="1">
      <c r="A30" s="345"/>
      <c r="B30" s="7" t="s">
        <v>23</v>
      </c>
      <c r="C30" s="80">
        <f>87350+6000</f>
        <v>93350</v>
      </c>
      <c r="D30" s="50">
        <v>10949.92</v>
      </c>
      <c r="E30" s="102">
        <v>86017.53</v>
      </c>
      <c r="F30" s="103">
        <v>93305.1</v>
      </c>
      <c r="G30" s="137">
        <v>73094.1</v>
      </c>
      <c r="H30" s="129">
        <v>44.89999999999418</v>
      </c>
      <c r="I30" s="96"/>
      <c r="J30" s="88">
        <v>18238.76</v>
      </c>
      <c r="K30" s="125">
        <v>7168.1275</v>
      </c>
      <c r="L30" s="163"/>
      <c r="M30" s="32">
        <v>-44.89999999999418</v>
      </c>
      <c r="N30" s="257"/>
      <c r="O30" s="199">
        <v>22250</v>
      </c>
      <c r="P30" s="210">
        <v>40050</v>
      </c>
      <c r="Q30" s="217">
        <f>O30+P30</f>
        <v>62300</v>
      </c>
      <c r="R30" s="210">
        <v>22750</v>
      </c>
      <c r="S30" s="210">
        <v>17300</v>
      </c>
      <c r="T30" s="217">
        <f>Q30-O30-R30-S30</f>
        <v>0</v>
      </c>
      <c r="U30" s="267">
        <v>10247.29</v>
      </c>
      <c r="V30" s="268"/>
      <c r="W30" s="269">
        <v>8163.67</v>
      </c>
      <c r="X30" s="267">
        <v>9251.99</v>
      </c>
      <c r="Y30" s="268">
        <v>6227.71</v>
      </c>
      <c r="Z30" s="269">
        <v>12026.73</v>
      </c>
      <c r="AA30" s="267"/>
      <c r="AB30" s="268"/>
      <c r="AC30" s="269"/>
      <c r="AD30" s="267">
        <f t="shared" si="22"/>
        <v>19499.28</v>
      </c>
      <c r="AE30" s="268">
        <f t="shared" si="22"/>
        <v>6227.71</v>
      </c>
      <c r="AF30" s="269">
        <f t="shared" si="22"/>
        <v>20190.4</v>
      </c>
      <c r="AG30" s="300">
        <f t="shared" si="23"/>
        <v>19499.28</v>
      </c>
      <c r="AH30" s="301">
        <f t="shared" si="23"/>
        <v>6227.71</v>
      </c>
      <c r="AI30" s="302">
        <f t="shared" si="23"/>
        <v>20190.4</v>
      </c>
      <c r="AJ30" s="32">
        <f>Q30-AH30</f>
        <v>56072.29</v>
      </c>
      <c r="AK30" s="295"/>
      <c r="AL30" s="32">
        <f>J30+AH30-AG30</f>
        <v>4967.189999999999</v>
      </c>
      <c r="AM30" s="324"/>
      <c r="AN30" s="32">
        <f>AH30-O30</f>
        <v>-16022.29</v>
      </c>
    </row>
    <row r="31" spans="1:40" s="1" customFormat="1" ht="17.25" customHeight="1" thickBot="1">
      <c r="A31" s="345"/>
      <c r="B31" s="22" t="s">
        <v>25</v>
      </c>
      <c r="C31" s="82">
        <v>470</v>
      </c>
      <c r="D31" s="51">
        <v>171.97</v>
      </c>
      <c r="E31" s="102">
        <v>484.59</v>
      </c>
      <c r="F31" s="103">
        <v>402</v>
      </c>
      <c r="G31" s="137">
        <v>285.71</v>
      </c>
      <c r="H31" s="129">
        <v>68</v>
      </c>
      <c r="I31" s="96"/>
      <c r="J31" s="88">
        <v>89.37</v>
      </c>
      <c r="K31" s="125">
        <v>40.3825</v>
      </c>
      <c r="L31" s="164"/>
      <c r="M31" s="38">
        <v>-68</v>
      </c>
      <c r="N31" s="257"/>
      <c r="O31" s="203">
        <v>120</v>
      </c>
      <c r="P31" s="210">
        <v>220</v>
      </c>
      <c r="Q31" s="217">
        <f>O31+P31</f>
        <v>340</v>
      </c>
      <c r="R31" s="210">
        <v>120</v>
      </c>
      <c r="S31" s="210">
        <v>100</v>
      </c>
      <c r="T31" s="217">
        <f>Q31-O31-R31-S31</f>
        <v>0</v>
      </c>
      <c r="U31" s="267">
        <v>62.66</v>
      </c>
      <c r="V31" s="268"/>
      <c r="W31" s="269"/>
      <c r="X31" s="267">
        <v>44.92</v>
      </c>
      <c r="Y31" s="268">
        <v>39.48</v>
      </c>
      <c r="Z31" s="269"/>
      <c r="AA31" s="267"/>
      <c r="AB31" s="268"/>
      <c r="AC31" s="269"/>
      <c r="AD31" s="267">
        <f t="shared" si="22"/>
        <v>107.58</v>
      </c>
      <c r="AE31" s="268">
        <f t="shared" si="22"/>
        <v>39.48</v>
      </c>
      <c r="AF31" s="269">
        <f t="shared" si="22"/>
        <v>0</v>
      </c>
      <c r="AG31" s="300">
        <f t="shared" si="23"/>
        <v>107.58</v>
      </c>
      <c r="AH31" s="301">
        <f t="shared" si="23"/>
        <v>39.48</v>
      </c>
      <c r="AI31" s="302">
        <f t="shared" si="23"/>
        <v>0</v>
      </c>
      <c r="AJ31" s="32">
        <f>Q31-AH31</f>
        <v>300.52</v>
      </c>
      <c r="AK31" s="295"/>
      <c r="AL31" s="32">
        <f>J31+AH31-AG31</f>
        <v>21.269999999999996</v>
      </c>
      <c r="AM31" s="324"/>
      <c r="AN31" s="32">
        <f>AH31-O31</f>
        <v>-80.52000000000001</v>
      </c>
    </row>
    <row r="32" spans="1:40" s="1" customFormat="1" ht="19.5" customHeight="1" thickBot="1">
      <c r="A32" s="352" t="s">
        <v>18</v>
      </c>
      <c r="B32" s="353"/>
      <c r="C32" s="83">
        <f>C29+C30+C31</f>
        <v>93820</v>
      </c>
      <c r="D32" s="55">
        <f>D30+D31</f>
        <v>11121.89</v>
      </c>
      <c r="E32" s="69">
        <v>86502.12</v>
      </c>
      <c r="F32" s="69">
        <v>93707.1</v>
      </c>
      <c r="G32" s="138">
        <v>81783.12</v>
      </c>
      <c r="H32" s="61">
        <v>112.89999999999418</v>
      </c>
      <c r="I32" s="64">
        <v>0</v>
      </c>
      <c r="J32" s="69">
        <f>J30+J31</f>
        <v>18328.129999999997</v>
      </c>
      <c r="K32" s="125">
        <v>7208.51</v>
      </c>
      <c r="L32" s="170"/>
      <c r="M32" s="183">
        <v>-112.89999999999418</v>
      </c>
      <c r="N32" s="257"/>
      <c r="O32" s="201">
        <f aca="true" t="shared" si="24" ref="O32:AL32">O30+O31</f>
        <v>22370</v>
      </c>
      <c r="P32" s="214">
        <f t="shared" si="24"/>
        <v>40270</v>
      </c>
      <c r="Q32" s="335">
        <f t="shared" si="24"/>
        <v>62640</v>
      </c>
      <c r="R32" s="288">
        <f t="shared" si="24"/>
        <v>22870</v>
      </c>
      <c r="S32" s="288">
        <f t="shared" si="24"/>
        <v>17400</v>
      </c>
      <c r="T32" s="288">
        <f t="shared" si="24"/>
        <v>0</v>
      </c>
      <c r="U32" s="310">
        <f t="shared" si="24"/>
        <v>10309.95</v>
      </c>
      <c r="V32" s="310">
        <f t="shared" si="24"/>
        <v>0</v>
      </c>
      <c r="W32" s="310">
        <f t="shared" si="24"/>
        <v>8163.67</v>
      </c>
      <c r="X32" s="310">
        <f t="shared" si="24"/>
        <v>9296.91</v>
      </c>
      <c r="Y32" s="310">
        <f t="shared" si="24"/>
        <v>6267.19</v>
      </c>
      <c r="Z32" s="310">
        <f t="shared" si="24"/>
        <v>12026.73</v>
      </c>
      <c r="AA32" s="310">
        <f t="shared" si="24"/>
        <v>0</v>
      </c>
      <c r="AB32" s="310">
        <f t="shared" si="24"/>
        <v>0</v>
      </c>
      <c r="AC32" s="310">
        <f t="shared" si="24"/>
        <v>0</v>
      </c>
      <c r="AD32" s="310">
        <f t="shared" si="24"/>
        <v>19606.86</v>
      </c>
      <c r="AE32" s="310">
        <f t="shared" si="24"/>
        <v>6267.19</v>
      </c>
      <c r="AF32" s="310">
        <f t="shared" si="24"/>
        <v>20190.4</v>
      </c>
      <c r="AG32" s="310">
        <f t="shared" si="24"/>
        <v>19606.86</v>
      </c>
      <c r="AH32" s="310">
        <f t="shared" si="24"/>
        <v>6267.19</v>
      </c>
      <c r="AI32" s="310">
        <f t="shared" si="24"/>
        <v>20190.4</v>
      </c>
      <c r="AJ32" s="310">
        <f t="shared" si="24"/>
        <v>56372.81</v>
      </c>
      <c r="AK32" s="310">
        <f t="shared" si="24"/>
        <v>0</v>
      </c>
      <c r="AL32" s="310">
        <f t="shared" si="24"/>
        <v>4988.459999999999</v>
      </c>
      <c r="AM32" s="324"/>
      <c r="AN32" s="317">
        <f>AN30+AN31</f>
        <v>-16102.810000000001</v>
      </c>
    </row>
    <row r="33" spans="1:40" s="1" customFormat="1" ht="21.75" customHeight="1" thickBot="1">
      <c r="A33" s="352" t="s">
        <v>26</v>
      </c>
      <c r="B33" s="353"/>
      <c r="C33" s="85">
        <f>681270+42080+59980</f>
        <v>783330</v>
      </c>
      <c r="D33" s="56"/>
      <c r="E33" s="102">
        <v>760101.18</v>
      </c>
      <c r="F33" s="103">
        <v>0</v>
      </c>
      <c r="G33" s="137">
        <v>0</v>
      </c>
      <c r="H33" s="129"/>
      <c r="I33" s="96">
        <v>23228.81999999995</v>
      </c>
      <c r="J33" s="88"/>
      <c r="K33" s="125">
        <v>63341.76500000001</v>
      </c>
      <c r="L33" s="171"/>
      <c r="M33" s="183">
        <v>-23228.81999999995</v>
      </c>
      <c r="N33" s="257"/>
      <c r="O33" s="204">
        <v>195970</v>
      </c>
      <c r="P33" s="197">
        <v>382140</v>
      </c>
      <c r="Q33" s="336">
        <f>O33+P33</f>
        <v>578110</v>
      </c>
      <c r="R33" s="197">
        <v>188030</v>
      </c>
      <c r="S33" s="197">
        <v>192000</v>
      </c>
      <c r="T33" s="220">
        <f>Q33-O33-R33-S33</f>
        <v>2110</v>
      </c>
      <c r="U33" s="267">
        <v>82397.49</v>
      </c>
      <c r="V33" s="268"/>
      <c r="W33" s="269"/>
      <c r="X33" s="267">
        <v>57595.07</v>
      </c>
      <c r="Y33" s="268"/>
      <c r="Z33" s="269"/>
      <c r="AA33" s="267"/>
      <c r="AB33" s="268"/>
      <c r="AC33" s="269"/>
      <c r="AD33" s="267">
        <f aca="true" t="shared" si="25" ref="AD33:AF37">U33+X33+AA33</f>
        <v>139992.56</v>
      </c>
      <c r="AE33" s="268">
        <f t="shared" si="25"/>
        <v>0</v>
      </c>
      <c r="AF33" s="269">
        <f t="shared" si="25"/>
        <v>0</v>
      </c>
      <c r="AG33" s="300">
        <f aca="true" t="shared" si="26" ref="AG33:AI37">AD33</f>
        <v>139992.56</v>
      </c>
      <c r="AH33" s="301">
        <f t="shared" si="26"/>
        <v>0</v>
      </c>
      <c r="AI33" s="302">
        <f t="shared" si="26"/>
        <v>0</v>
      </c>
      <c r="AJ33" s="32"/>
      <c r="AK33" s="295">
        <f>Q33-AG33</f>
        <v>438117.44</v>
      </c>
      <c r="AL33" s="32"/>
      <c r="AM33" s="324"/>
      <c r="AN33" s="32">
        <f>AG33-O33</f>
        <v>-55977.44</v>
      </c>
    </row>
    <row r="34" spans="1:40" s="1" customFormat="1" ht="21" customHeight="1" thickBot="1">
      <c r="A34" s="352" t="s">
        <v>27</v>
      </c>
      <c r="B34" s="353"/>
      <c r="C34" s="85">
        <f>307880+30000</f>
        <v>337880</v>
      </c>
      <c r="D34" s="59">
        <v>67754.4</v>
      </c>
      <c r="E34" s="104">
        <v>266582.39</v>
      </c>
      <c r="F34" s="105">
        <v>337252.54</v>
      </c>
      <c r="G34" s="141">
        <v>384319.95</v>
      </c>
      <c r="H34" s="130">
        <v>627.460000000021</v>
      </c>
      <c r="I34" s="97"/>
      <c r="J34" s="89">
        <v>138424.55</v>
      </c>
      <c r="K34" s="125">
        <v>22215.19916666667</v>
      </c>
      <c r="L34" s="172"/>
      <c r="M34" s="186">
        <v>-627.460000000021</v>
      </c>
      <c r="N34" s="257"/>
      <c r="O34" s="205">
        <v>62120</v>
      </c>
      <c r="P34" s="215">
        <v>139760</v>
      </c>
      <c r="Q34" s="337">
        <f>O34+P34</f>
        <v>201880</v>
      </c>
      <c r="R34" s="215">
        <v>90000</v>
      </c>
      <c r="S34" s="215">
        <f>Q34-O34-R34</f>
        <v>49760</v>
      </c>
      <c r="T34" s="221">
        <f>Q34-O34-R34-S34</f>
        <v>0</v>
      </c>
      <c r="U34" s="267">
        <v>17857.47</v>
      </c>
      <c r="V34" s="268"/>
      <c r="W34" s="269"/>
      <c r="X34" s="267">
        <v>16287.87</v>
      </c>
      <c r="Y34" s="268"/>
      <c r="Z34" s="269">
        <v>88916.13</v>
      </c>
      <c r="AA34" s="267"/>
      <c r="AB34" s="268"/>
      <c r="AC34" s="269"/>
      <c r="AD34" s="267">
        <f t="shared" si="25"/>
        <v>34145.340000000004</v>
      </c>
      <c r="AE34" s="268">
        <f t="shared" si="25"/>
        <v>0</v>
      </c>
      <c r="AF34" s="269">
        <f t="shared" si="25"/>
        <v>88916.13</v>
      </c>
      <c r="AG34" s="300">
        <f t="shared" si="26"/>
        <v>34145.340000000004</v>
      </c>
      <c r="AH34" s="301">
        <f t="shared" si="26"/>
        <v>0</v>
      </c>
      <c r="AI34" s="302">
        <f t="shared" si="26"/>
        <v>88916.13</v>
      </c>
      <c r="AJ34" s="32">
        <f>Q34-AH34</f>
        <v>201880</v>
      </c>
      <c r="AK34" s="295"/>
      <c r="AL34" s="32">
        <f>J34+AH34-AG34</f>
        <v>104279.20999999999</v>
      </c>
      <c r="AM34" s="324"/>
      <c r="AN34" s="32">
        <f>AH34-O34</f>
        <v>-62120</v>
      </c>
    </row>
    <row r="35" spans="1:40" s="1" customFormat="1" ht="41.25" customHeight="1" thickBot="1">
      <c r="A35" s="348" t="s">
        <v>89</v>
      </c>
      <c r="B35" s="349"/>
      <c r="C35" s="85">
        <f>116064+59024+276768+4960+48112+71424+93744+28768+73408</f>
        <v>772272</v>
      </c>
      <c r="D35" s="57"/>
      <c r="E35" s="106">
        <v>727136</v>
      </c>
      <c r="F35" s="107">
        <v>0</v>
      </c>
      <c r="G35" s="142">
        <v>372996</v>
      </c>
      <c r="H35" s="131"/>
      <c r="I35" s="98">
        <v>45136</v>
      </c>
      <c r="J35" s="90"/>
      <c r="K35" s="125">
        <v>60594.666666666664</v>
      </c>
      <c r="L35" s="173"/>
      <c r="M35" s="60">
        <v>-45136</v>
      </c>
      <c r="N35" s="257"/>
      <c r="O35" s="206">
        <v>116064</v>
      </c>
      <c r="P35" s="198">
        <v>214272</v>
      </c>
      <c r="Q35" s="222">
        <f>O35+P35</f>
        <v>330336</v>
      </c>
      <c r="R35" s="198"/>
      <c r="S35" s="198"/>
      <c r="T35" s="222"/>
      <c r="U35" s="267">
        <v>40176</v>
      </c>
      <c r="V35" s="268"/>
      <c r="W35" s="269">
        <f>38688+28772</f>
        <v>67460</v>
      </c>
      <c r="X35" s="267">
        <v>35216</v>
      </c>
      <c r="Y35" s="268"/>
      <c r="Z35" s="269">
        <v>112092</v>
      </c>
      <c r="AA35" s="267"/>
      <c r="AB35" s="268"/>
      <c r="AC35" s="269"/>
      <c r="AD35" s="267">
        <f t="shared" si="25"/>
        <v>75392</v>
      </c>
      <c r="AE35" s="268">
        <f t="shared" si="25"/>
        <v>0</v>
      </c>
      <c r="AF35" s="269">
        <f t="shared" si="25"/>
        <v>179552</v>
      </c>
      <c r="AG35" s="300">
        <f t="shared" si="26"/>
        <v>75392</v>
      </c>
      <c r="AH35" s="301">
        <f t="shared" si="26"/>
        <v>0</v>
      </c>
      <c r="AI35" s="302">
        <f t="shared" si="26"/>
        <v>179552</v>
      </c>
      <c r="AJ35" s="32"/>
      <c r="AK35" s="295">
        <f>Q35-AG35</f>
        <v>254944</v>
      </c>
      <c r="AL35" s="32"/>
      <c r="AM35" s="324"/>
      <c r="AN35" s="32">
        <f>AG35-O35</f>
        <v>-40672</v>
      </c>
    </row>
    <row r="36" spans="1:40" s="1" customFormat="1" ht="18.75" customHeight="1" hidden="1" thickBot="1">
      <c r="A36" s="343" t="s">
        <v>35</v>
      </c>
      <c r="B36" s="344"/>
      <c r="C36" s="85">
        <f>10740+35450-24590-4000-6780</f>
        <v>10820</v>
      </c>
      <c r="D36" s="57"/>
      <c r="E36" s="106">
        <v>7714</v>
      </c>
      <c r="F36" s="107">
        <v>0</v>
      </c>
      <c r="G36" s="142">
        <v>11565</v>
      </c>
      <c r="H36" s="131"/>
      <c r="I36" s="98">
        <v>3106</v>
      </c>
      <c r="J36" s="90"/>
      <c r="K36" s="125">
        <v>642.8333333333334</v>
      </c>
      <c r="L36" s="173">
        <v>3100</v>
      </c>
      <c r="M36" s="60">
        <v>-6</v>
      </c>
      <c r="N36" s="257"/>
      <c r="O36" s="204">
        <f>2510-2510</f>
        <v>0</v>
      </c>
      <c r="P36" s="197">
        <f>6020+2510</f>
        <v>8530</v>
      </c>
      <c r="Q36" s="336">
        <f>O36+P36</f>
        <v>8530</v>
      </c>
      <c r="R36" s="197">
        <v>0</v>
      </c>
      <c r="S36" s="197">
        <v>4260</v>
      </c>
      <c r="T36" s="220">
        <f>Q36-O36-R36-S36</f>
        <v>4270</v>
      </c>
      <c r="U36" s="267">
        <v>0</v>
      </c>
      <c r="V36" s="268"/>
      <c r="W36" s="269"/>
      <c r="X36" s="267"/>
      <c r="Y36" s="268"/>
      <c r="Z36" s="269"/>
      <c r="AA36" s="267"/>
      <c r="AB36" s="268"/>
      <c r="AC36" s="269"/>
      <c r="AD36" s="267">
        <f t="shared" si="25"/>
        <v>0</v>
      </c>
      <c r="AE36" s="268">
        <f t="shared" si="25"/>
        <v>0</v>
      </c>
      <c r="AF36" s="269">
        <f t="shared" si="25"/>
        <v>0</v>
      </c>
      <c r="AG36" s="300">
        <f t="shared" si="26"/>
        <v>0</v>
      </c>
      <c r="AH36" s="301">
        <f t="shared" si="26"/>
        <v>0</v>
      </c>
      <c r="AI36" s="302">
        <f t="shared" si="26"/>
        <v>0</v>
      </c>
      <c r="AJ36" s="32"/>
      <c r="AK36" s="295">
        <f>Q36-AG36</f>
        <v>8530</v>
      </c>
      <c r="AL36" s="32"/>
      <c r="AM36" s="324"/>
      <c r="AN36" s="32">
        <f>AG36-O36</f>
        <v>0</v>
      </c>
    </row>
    <row r="37" spans="1:40" s="1" customFormat="1" ht="30" customHeight="1" thickBot="1">
      <c r="A37" s="350" t="s">
        <v>36</v>
      </c>
      <c r="B37" s="351"/>
      <c r="C37" s="85">
        <f>1930+360+770-320</f>
        <v>2740</v>
      </c>
      <c r="D37" s="58"/>
      <c r="E37" s="108">
        <v>2420</v>
      </c>
      <c r="F37" s="109">
        <v>0</v>
      </c>
      <c r="G37" s="143">
        <v>2640</v>
      </c>
      <c r="H37" s="132"/>
      <c r="I37" s="99">
        <v>320</v>
      </c>
      <c r="J37" s="91"/>
      <c r="K37" s="125">
        <v>201.66666666666666</v>
      </c>
      <c r="L37" s="173"/>
      <c r="M37" s="185">
        <v>-320</v>
      </c>
      <c r="N37" s="257"/>
      <c r="O37" s="207">
        <f>510+690</f>
        <v>1200</v>
      </c>
      <c r="P37" s="216">
        <f>1400-690</f>
        <v>710</v>
      </c>
      <c r="Q37" s="338">
        <f>O37+P37</f>
        <v>1910</v>
      </c>
      <c r="R37" s="320">
        <v>710</v>
      </c>
      <c r="S37" s="320">
        <v>0</v>
      </c>
      <c r="T37" s="339">
        <v>0</v>
      </c>
      <c r="U37" s="267">
        <v>500</v>
      </c>
      <c r="V37" s="268"/>
      <c r="W37" s="269">
        <v>320</v>
      </c>
      <c r="X37" s="267"/>
      <c r="Y37" s="268"/>
      <c r="Z37" s="269">
        <v>160</v>
      </c>
      <c r="AA37" s="267"/>
      <c r="AB37" s="268"/>
      <c r="AC37" s="269"/>
      <c r="AD37" s="271">
        <f t="shared" si="25"/>
        <v>500</v>
      </c>
      <c r="AE37" s="272">
        <f t="shared" si="25"/>
        <v>0</v>
      </c>
      <c r="AF37" s="273">
        <f t="shared" si="25"/>
        <v>480</v>
      </c>
      <c r="AG37" s="303">
        <f t="shared" si="26"/>
        <v>500</v>
      </c>
      <c r="AH37" s="304">
        <f t="shared" si="26"/>
        <v>0</v>
      </c>
      <c r="AI37" s="305">
        <f t="shared" si="26"/>
        <v>480</v>
      </c>
      <c r="AJ37" s="293"/>
      <c r="AK37" s="295">
        <f>Q37-AG37</f>
        <v>1410</v>
      </c>
      <c r="AL37" s="293"/>
      <c r="AM37" s="326"/>
      <c r="AN37" s="293">
        <f>AG37-O37</f>
        <v>-700</v>
      </c>
    </row>
    <row r="38" spans="1:39" s="1" customFormat="1" ht="23.25" customHeight="1" thickBot="1">
      <c r="A38" s="359" t="s">
        <v>21</v>
      </c>
      <c r="B38" s="360"/>
      <c r="C38" s="74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44">
        <v>15326029.059999999</v>
      </c>
      <c r="H38" s="34">
        <v>699502.9299999992</v>
      </c>
      <c r="I38" s="35">
        <v>551972.17</v>
      </c>
      <c r="J38" s="34">
        <f>J5+J9+J11+J14+J21+J23+J32+J34</f>
        <v>2571402.2199999997</v>
      </c>
      <c r="K38" s="122"/>
      <c r="L38" s="189"/>
      <c r="M38" s="1" t="s">
        <v>52</v>
      </c>
      <c r="N38" s="259"/>
      <c r="O38" s="193">
        <f aca="true" t="shared" si="27" ref="O38:AL38">O7+O10+O13+O17+O21+O28+O32+O33+O34+O35+O36+O37</f>
        <v>11912364</v>
      </c>
      <c r="P38" s="193">
        <f t="shared" si="27"/>
        <v>26110122</v>
      </c>
      <c r="Q38" s="289">
        <f t="shared" si="27"/>
        <v>38022486</v>
      </c>
      <c r="R38" s="289">
        <f t="shared" si="27"/>
        <v>13132310</v>
      </c>
      <c r="S38" s="289">
        <f t="shared" si="27"/>
        <v>10258040</v>
      </c>
      <c r="T38" s="289">
        <f t="shared" si="27"/>
        <v>2505500</v>
      </c>
      <c r="U38" s="311">
        <f t="shared" si="27"/>
        <v>4286634.68</v>
      </c>
      <c r="V38" s="311">
        <f t="shared" si="27"/>
        <v>347118.67</v>
      </c>
      <c r="W38" s="311">
        <f t="shared" si="27"/>
        <v>378690.12</v>
      </c>
      <c r="X38" s="311">
        <f t="shared" si="27"/>
        <v>3706961.17</v>
      </c>
      <c r="Y38" s="311">
        <f t="shared" si="27"/>
        <v>1199934.48</v>
      </c>
      <c r="Z38" s="311">
        <f t="shared" si="27"/>
        <v>775458.13</v>
      </c>
      <c r="AA38" s="311">
        <f t="shared" si="27"/>
        <v>0</v>
      </c>
      <c r="AB38" s="311">
        <f t="shared" si="27"/>
        <v>0</v>
      </c>
      <c r="AC38" s="311">
        <f t="shared" si="27"/>
        <v>0</v>
      </c>
      <c r="AD38" s="311">
        <f t="shared" si="27"/>
        <v>7993595.85</v>
      </c>
      <c r="AE38" s="311">
        <f t="shared" si="27"/>
        <v>1547053.15</v>
      </c>
      <c r="AF38" s="311">
        <f t="shared" si="27"/>
        <v>1154148.25</v>
      </c>
      <c r="AG38" s="312">
        <f t="shared" si="27"/>
        <v>7993595.85</v>
      </c>
      <c r="AH38" s="312">
        <f t="shared" si="27"/>
        <v>1547053.15</v>
      </c>
      <c r="AI38" s="312">
        <f t="shared" si="27"/>
        <v>1154148.25</v>
      </c>
      <c r="AJ38" s="312">
        <f t="shared" si="27"/>
        <v>9703366.850000001</v>
      </c>
      <c r="AK38" s="312">
        <f t="shared" si="27"/>
        <v>20575854.23</v>
      </c>
      <c r="AL38" s="311">
        <f t="shared" si="27"/>
        <v>2321071.31</v>
      </c>
      <c r="AM38" s="326"/>
    </row>
    <row r="39" spans="1:39" s="11" customFormat="1" ht="16.5" customHeight="1">
      <c r="A39" s="2" t="s">
        <v>19</v>
      </c>
      <c r="B39" s="6" t="s">
        <v>42</v>
      </c>
      <c r="C39" s="75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45">
        <v>14554508.11</v>
      </c>
      <c r="H39" s="12">
        <v>105279.35999999935</v>
      </c>
      <c r="I39" s="29">
        <v>-110594.27</v>
      </c>
      <c r="J39" s="67">
        <f>J5+J11+J21+J23+J32</f>
        <v>2432977.67</v>
      </c>
      <c r="K39" s="126" t="s">
        <v>50</v>
      </c>
      <c r="L39" s="188"/>
      <c r="M39" s="11" t="s">
        <v>53</v>
      </c>
      <c r="N39" s="28"/>
      <c r="O39" s="194">
        <f aca="true" t="shared" si="28" ref="O39:AL39">O7+O13+O21+O28+O32+O33</f>
        <v>10714760</v>
      </c>
      <c r="P39" s="194">
        <f t="shared" si="28"/>
        <v>18835300</v>
      </c>
      <c r="Q39" s="290">
        <f t="shared" si="28"/>
        <v>29550060</v>
      </c>
      <c r="R39" s="290">
        <f t="shared" si="28"/>
        <v>10724100</v>
      </c>
      <c r="S39" s="290">
        <f t="shared" si="28"/>
        <v>7886520</v>
      </c>
      <c r="T39" s="290">
        <f t="shared" si="28"/>
        <v>224680</v>
      </c>
      <c r="U39" s="313">
        <f t="shared" si="28"/>
        <v>3777666.09</v>
      </c>
      <c r="V39" s="313">
        <f t="shared" si="28"/>
        <v>292736.3</v>
      </c>
      <c r="W39" s="313">
        <f t="shared" si="28"/>
        <v>310910.12</v>
      </c>
      <c r="X39" s="313">
        <f t="shared" si="28"/>
        <v>3337310.15</v>
      </c>
      <c r="Y39" s="313">
        <f t="shared" si="28"/>
        <v>1199934.48</v>
      </c>
      <c r="Z39" s="313">
        <f t="shared" si="28"/>
        <v>574290</v>
      </c>
      <c r="AA39" s="313">
        <f t="shared" si="28"/>
        <v>0</v>
      </c>
      <c r="AB39" s="313">
        <f t="shared" si="28"/>
        <v>0</v>
      </c>
      <c r="AC39" s="313">
        <f t="shared" si="28"/>
        <v>0</v>
      </c>
      <c r="AD39" s="313">
        <f t="shared" si="28"/>
        <v>7114976.239999998</v>
      </c>
      <c r="AE39" s="313">
        <f t="shared" si="28"/>
        <v>1492670.7799999998</v>
      </c>
      <c r="AF39" s="313">
        <f t="shared" si="28"/>
        <v>885200.1200000001</v>
      </c>
      <c r="AG39" s="313">
        <f t="shared" si="28"/>
        <v>7114976.239999998</v>
      </c>
      <c r="AH39" s="313">
        <f t="shared" si="28"/>
        <v>1492670.7799999998</v>
      </c>
      <c r="AI39" s="313">
        <f t="shared" si="28"/>
        <v>885200.1200000001</v>
      </c>
      <c r="AJ39" s="313">
        <f t="shared" si="28"/>
        <v>7905869.22</v>
      </c>
      <c r="AK39" s="313">
        <f t="shared" si="28"/>
        <v>14786186.909999998</v>
      </c>
      <c r="AL39" s="313">
        <f t="shared" si="28"/>
        <v>2176005.32</v>
      </c>
      <c r="AM39" s="322"/>
    </row>
    <row r="40" spans="1:39" s="11" customFormat="1" ht="17.25" customHeight="1" thickBot="1">
      <c r="A40" s="14"/>
      <c r="B40" s="15" t="s">
        <v>20</v>
      </c>
      <c r="C40" s="76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46">
        <v>384319.95</v>
      </c>
      <c r="H40" s="16">
        <v>627.460000000021</v>
      </c>
      <c r="I40" s="30">
        <v>20408.330000000075</v>
      </c>
      <c r="J40" s="68">
        <f>J34</f>
        <v>138424.55</v>
      </c>
      <c r="K40" s="126" t="s">
        <v>51</v>
      </c>
      <c r="L40" s="152">
        <f>L17+L34</f>
        <v>0</v>
      </c>
      <c r="N40" s="28"/>
      <c r="O40" s="195">
        <f aca="true" t="shared" si="29" ref="O40:AL40">O17+O34</f>
        <v>378930</v>
      </c>
      <c r="P40" s="195">
        <f t="shared" si="29"/>
        <v>1090160</v>
      </c>
      <c r="Q40" s="291">
        <f t="shared" si="29"/>
        <v>1469090</v>
      </c>
      <c r="R40" s="291">
        <f t="shared" si="29"/>
        <v>407500</v>
      </c>
      <c r="S40" s="291">
        <f t="shared" si="29"/>
        <v>367260</v>
      </c>
      <c r="T40" s="291">
        <f t="shared" si="29"/>
        <v>315400</v>
      </c>
      <c r="U40" s="314">
        <f t="shared" si="29"/>
        <v>143077.47</v>
      </c>
      <c r="V40" s="314">
        <f t="shared" si="29"/>
        <v>0</v>
      </c>
      <c r="W40" s="314">
        <f t="shared" si="29"/>
        <v>0</v>
      </c>
      <c r="X40" s="314">
        <f t="shared" si="29"/>
        <v>133683.87</v>
      </c>
      <c r="Y40" s="314">
        <f t="shared" si="29"/>
        <v>0</v>
      </c>
      <c r="Z40" s="314">
        <f t="shared" si="29"/>
        <v>88916.13</v>
      </c>
      <c r="AA40" s="314">
        <f t="shared" si="29"/>
        <v>0</v>
      </c>
      <c r="AB40" s="314">
        <f t="shared" si="29"/>
        <v>0</v>
      </c>
      <c r="AC40" s="314">
        <f t="shared" si="29"/>
        <v>0</v>
      </c>
      <c r="AD40" s="314">
        <f t="shared" si="29"/>
        <v>276761.34</v>
      </c>
      <c r="AE40" s="314">
        <f t="shared" si="29"/>
        <v>0</v>
      </c>
      <c r="AF40" s="314">
        <f t="shared" si="29"/>
        <v>88916.13</v>
      </c>
      <c r="AG40" s="314">
        <f t="shared" si="29"/>
        <v>276761.34</v>
      </c>
      <c r="AH40" s="314">
        <f t="shared" si="29"/>
        <v>0</v>
      </c>
      <c r="AI40" s="314">
        <f t="shared" si="29"/>
        <v>88916.13</v>
      </c>
      <c r="AJ40" s="314">
        <f t="shared" si="29"/>
        <v>201880</v>
      </c>
      <c r="AK40" s="314">
        <f t="shared" si="29"/>
        <v>1024594</v>
      </c>
      <c r="AL40" s="314">
        <f t="shared" si="29"/>
        <v>104279.20999999999</v>
      </c>
      <c r="AM40" s="322"/>
    </row>
    <row r="41" spans="1:39" s="11" customFormat="1" ht="14.25" customHeight="1" thickBot="1">
      <c r="A41" s="86" t="s">
        <v>19</v>
      </c>
      <c r="B41" s="87"/>
      <c r="C41" s="77"/>
      <c r="D41" s="17"/>
      <c r="E41" s="92"/>
      <c r="F41" s="92"/>
      <c r="G41" s="121"/>
      <c r="H41" s="28"/>
      <c r="I41" s="28"/>
      <c r="J41" s="92"/>
      <c r="K41" s="121"/>
      <c r="L41" s="153"/>
      <c r="N41" s="28"/>
      <c r="O41" s="192"/>
      <c r="P41" s="192"/>
      <c r="Q41" s="292"/>
      <c r="R41" s="292"/>
      <c r="S41" s="292"/>
      <c r="T41" s="2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M41" s="322"/>
    </row>
    <row r="42" spans="1:38" ht="18.75" customHeight="1" hidden="1" thickBot="1">
      <c r="A42" s="357" t="s">
        <v>90</v>
      </c>
      <c r="B42" s="358"/>
      <c r="C42" s="116">
        <f>C45+C36</f>
        <v>13570760</v>
      </c>
      <c r="D42" s="42"/>
      <c r="E42" s="117">
        <f>E5+E11+E14+E21+E23+E32+E34+E36</f>
        <v>13372726.139999999</v>
      </c>
      <c r="F42" s="117">
        <f>F5+F11+F14+F21+F23+F32+F34+F36</f>
        <v>13454033.18</v>
      </c>
      <c r="G42" s="147">
        <f>G5+G11+G14+G21+G23+G32+G34+G36</f>
        <v>14950393.059999999</v>
      </c>
      <c r="H42" s="117">
        <f>H5+H11+H14+H21+H23+H32+H34+H36</f>
        <v>105906.81999999937</v>
      </c>
      <c r="I42" s="117">
        <f>I5+I11+I14+I21+I23+I32+I34+I36</f>
        <v>3106</v>
      </c>
      <c r="K42" s="174"/>
      <c r="L42" s="154"/>
      <c r="M42" s="158"/>
      <c r="O42" s="208">
        <f aca="true" t="shared" si="30" ref="O42:AL42">O45+O36</f>
        <v>3280090</v>
      </c>
      <c r="P42" s="208">
        <f t="shared" si="30"/>
        <v>7978860</v>
      </c>
      <c r="Q42" s="279">
        <f t="shared" si="30"/>
        <v>11258950</v>
      </c>
      <c r="R42" s="279">
        <f t="shared" si="30"/>
        <v>3869670</v>
      </c>
      <c r="S42" s="279">
        <f t="shared" si="30"/>
        <v>3541970</v>
      </c>
      <c r="T42" s="279">
        <f t="shared" si="30"/>
        <v>567220</v>
      </c>
      <c r="U42" s="279">
        <f t="shared" si="30"/>
        <v>945025.8199999998</v>
      </c>
      <c r="V42" s="279">
        <f t="shared" si="30"/>
        <v>347118.67</v>
      </c>
      <c r="W42" s="279">
        <f t="shared" si="30"/>
        <v>310910.12</v>
      </c>
      <c r="X42" s="279">
        <f t="shared" si="30"/>
        <v>852358.2599999999</v>
      </c>
      <c r="Y42" s="279">
        <f t="shared" si="30"/>
        <v>1199934.48</v>
      </c>
      <c r="Z42" s="279">
        <f t="shared" si="30"/>
        <v>663206.13</v>
      </c>
      <c r="AA42" s="279">
        <f t="shared" si="30"/>
        <v>0</v>
      </c>
      <c r="AB42" s="279">
        <f t="shared" si="30"/>
        <v>0</v>
      </c>
      <c r="AC42" s="279">
        <f t="shared" si="30"/>
        <v>0</v>
      </c>
      <c r="AD42" s="279">
        <f t="shared" si="30"/>
        <v>1797384.08</v>
      </c>
      <c r="AE42" s="279">
        <f t="shared" si="30"/>
        <v>1547053.15</v>
      </c>
      <c r="AF42" s="279">
        <f t="shared" si="30"/>
        <v>974116.2500000001</v>
      </c>
      <c r="AG42" s="279">
        <f t="shared" si="30"/>
        <v>1797384.08</v>
      </c>
      <c r="AH42" s="279">
        <f t="shared" si="30"/>
        <v>1547053.15</v>
      </c>
      <c r="AI42" s="279">
        <f t="shared" si="30"/>
        <v>974116.2500000001</v>
      </c>
      <c r="AJ42" s="279">
        <f t="shared" si="30"/>
        <v>9703366.850000001</v>
      </c>
      <c r="AK42" s="279">
        <f t="shared" si="30"/>
        <v>8530</v>
      </c>
      <c r="AL42" s="279">
        <f t="shared" si="30"/>
        <v>2321071.31</v>
      </c>
    </row>
    <row r="43" spans="1:38" ht="16.5" customHeight="1" thickBot="1">
      <c r="A43" s="45" t="s">
        <v>47</v>
      </c>
      <c r="B43" s="119" t="s">
        <v>82</v>
      </c>
      <c r="C43" s="118">
        <f>C6+C12+C15+C16+C22+C24+C26+C27+C29+C33</f>
        <v>26902440</v>
      </c>
      <c r="D43" s="42"/>
      <c r="E43" s="120">
        <f>E6+E12+E15+E16+E22+E24+E25+E26+E27+E29+E33</f>
        <v>28150495.939999998</v>
      </c>
      <c r="F43" s="120">
        <f>F6+F12+F15+F16+F22+F24+F25+F26+F27+F29+F33</f>
        <v>0</v>
      </c>
      <c r="G43" s="148">
        <f>G6+G12+G15+G16+G22+G24+G25+G26+G27+G29+G33</f>
        <v>8403.31</v>
      </c>
      <c r="H43" s="120">
        <f>H6+H12+H15+H16+H22+H24+H25+H26+H27+H29+H33</f>
        <v>0</v>
      </c>
      <c r="I43" s="120">
        <f>I6+I12+I15+I16+I22+I24+I25+I26+I27+I29+I33</f>
        <v>-90185.94000000025</v>
      </c>
      <c r="K43" s="174"/>
      <c r="L43" s="154"/>
      <c r="M43" s="175"/>
      <c r="O43" s="209">
        <f aca="true" t="shared" si="31" ref="O43:AL43">O6+O8+O12+O17+O22+O24+O25+O26+O27+O33</f>
        <v>8515010</v>
      </c>
      <c r="P43" s="209">
        <f t="shared" si="31"/>
        <v>17916280</v>
      </c>
      <c r="Q43" s="280">
        <f t="shared" si="31"/>
        <v>26431290</v>
      </c>
      <c r="R43" s="280">
        <f t="shared" si="31"/>
        <v>9261930</v>
      </c>
      <c r="S43" s="280">
        <f t="shared" si="31"/>
        <v>6716070</v>
      </c>
      <c r="T43" s="280">
        <f t="shared" si="31"/>
        <v>1938280</v>
      </c>
      <c r="U43" s="280">
        <f t="shared" si="31"/>
        <v>3300932.8600000003</v>
      </c>
      <c r="V43" s="280">
        <f t="shared" si="31"/>
        <v>0</v>
      </c>
      <c r="W43" s="280">
        <f t="shared" si="31"/>
        <v>0</v>
      </c>
      <c r="X43" s="280">
        <f t="shared" si="31"/>
        <v>2819386.91</v>
      </c>
      <c r="Y43" s="280">
        <f t="shared" si="31"/>
        <v>0</v>
      </c>
      <c r="Z43" s="280">
        <f t="shared" si="31"/>
        <v>0</v>
      </c>
      <c r="AA43" s="280">
        <f t="shared" si="31"/>
        <v>0</v>
      </c>
      <c r="AB43" s="280">
        <f t="shared" si="31"/>
        <v>0</v>
      </c>
      <c r="AC43" s="280">
        <f t="shared" si="31"/>
        <v>0</v>
      </c>
      <c r="AD43" s="280">
        <f t="shared" si="31"/>
        <v>6120319.77</v>
      </c>
      <c r="AE43" s="280">
        <f t="shared" si="31"/>
        <v>0</v>
      </c>
      <c r="AF43" s="280">
        <f t="shared" si="31"/>
        <v>0</v>
      </c>
      <c r="AG43" s="280">
        <f t="shared" si="31"/>
        <v>6120319.77</v>
      </c>
      <c r="AH43" s="280">
        <f t="shared" si="31"/>
        <v>0</v>
      </c>
      <c r="AI43" s="280">
        <f t="shared" si="31"/>
        <v>0</v>
      </c>
      <c r="AJ43" s="280">
        <f t="shared" si="31"/>
        <v>0</v>
      </c>
      <c r="AK43" s="280">
        <f t="shared" si="31"/>
        <v>20310970.23</v>
      </c>
      <c r="AL43" s="280">
        <f t="shared" si="31"/>
        <v>0</v>
      </c>
    </row>
    <row r="44" spans="1:39" s="41" customFormat="1" ht="13.5" customHeight="1" thickBot="1">
      <c r="A44" s="40"/>
      <c r="B44" s="23"/>
      <c r="C44" s="78"/>
      <c r="D44" s="37"/>
      <c r="E44" s="66">
        <f>E42+E43</f>
        <v>41523222.08</v>
      </c>
      <c r="F44" s="66">
        <f>F42+F43</f>
        <v>13454033.18</v>
      </c>
      <c r="G44" s="149">
        <f>G42+G43</f>
        <v>14958796.37</v>
      </c>
      <c r="H44" s="66">
        <f>H42+H43</f>
        <v>105906.81999999937</v>
      </c>
      <c r="I44" s="66">
        <f>I42+I43</f>
        <v>-87079.94000000025</v>
      </c>
      <c r="J44" s="156"/>
      <c r="K44" s="123"/>
      <c r="L44" s="154"/>
      <c r="N44" s="253"/>
      <c r="O44" s="66"/>
      <c r="P44" s="66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327"/>
    </row>
    <row r="45" spans="1:39" s="13" customFormat="1" ht="23.25" customHeight="1" thickBot="1">
      <c r="A45" s="354" t="s">
        <v>81</v>
      </c>
      <c r="B45" s="355"/>
      <c r="C45" s="79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4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157"/>
      <c r="K45" s="176"/>
      <c r="L45" s="154"/>
      <c r="M45" s="177"/>
      <c r="N45" s="254"/>
      <c r="O45" s="33">
        <f aca="true" t="shared" si="32" ref="O45:AL45">O5+O9+O11+O21+O23+O32+O34</f>
        <v>3280090</v>
      </c>
      <c r="P45" s="33">
        <f t="shared" si="32"/>
        <v>7970330</v>
      </c>
      <c r="Q45" s="282">
        <f t="shared" si="32"/>
        <v>11250420</v>
      </c>
      <c r="R45" s="282">
        <f t="shared" si="32"/>
        <v>3869670</v>
      </c>
      <c r="S45" s="282">
        <f t="shared" si="32"/>
        <v>3537710</v>
      </c>
      <c r="T45" s="282">
        <f t="shared" si="32"/>
        <v>562950</v>
      </c>
      <c r="U45" s="282">
        <f t="shared" si="32"/>
        <v>945025.8199999998</v>
      </c>
      <c r="V45" s="282">
        <f t="shared" si="32"/>
        <v>347118.67</v>
      </c>
      <c r="W45" s="282">
        <f t="shared" si="32"/>
        <v>310910.12</v>
      </c>
      <c r="X45" s="282">
        <f t="shared" si="32"/>
        <v>852358.2599999999</v>
      </c>
      <c r="Y45" s="282">
        <f t="shared" si="32"/>
        <v>1199934.48</v>
      </c>
      <c r="Z45" s="282">
        <f t="shared" si="32"/>
        <v>663206.13</v>
      </c>
      <c r="AA45" s="282">
        <f t="shared" si="32"/>
        <v>0</v>
      </c>
      <c r="AB45" s="282">
        <f t="shared" si="32"/>
        <v>0</v>
      </c>
      <c r="AC45" s="282">
        <f t="shared" si="32"/>
        <v>0</v>
      </c>
      <c r="AD45" s="282">
        <f t="shared" si="32"/>
        <v>1797384.08</v>
      </c>
      <c r="AE45" s="282">
        <f t="shared" si="32"/>
        <v>1547053.15</v>
      </c>
      <c r="AF45" s="282">
        <f t="shared" si="32"/>
        <v>974116.2500000001</v>
      </c>
      <c r="AG45" s="282">
        <f t="shared" si="32"/>
        <v>1797384.08</v>
      </c>
      <c r="AH45" s="282">
        <f t="shared" si="32"/>
        <v>1547053.15</v>
      </c>
      <c r="AI45" s="282">
        <f t="shared" si="32"/>
        <v>974116.2500000001</v>
      </c>
      <c r="AJ45" s="282">
        <f t="shared" si="32"/>
        <v>9703366.850000001</v>
      </c>
      <c r="AK45" s="282">
        <f t="shared" si="32"/>
        <v>0</v>
      </c>
      <c r="AL45" s="282">
        <f t="shared" si="32"/>
        <v>2321071.31</v>
      </c>
      <c r="AM45" s="328"/>
    </row>
    <row r="46" spans="1:39" s="26" customFormat="1" ht="15" customHeight="1">
      <c r="A46" s="347"/>
      <c r="B46" s="347"/>
      <c r="C46" s="347"/>
      <c r="D46" s="347"/>
      <c r="E46" s="347"/>
      <c r="F46" s="347"/>
      <c r="G46" s="347"/>
      <c r="H46" s="347"/>
      <c r="I46" s="347"/>
      <c r="J46" s="93"/>
      <c r="K46" s="124"/>
      <c r="L46" s="155"/>
      <c r="N46" s="94"/>
      <c r="O46" s="196"/>
      <c r="P46" s="191"/>
      <c r="Q46" s="191"/>
      <c r="R46" s="191"/>
      <c r="S46" s="191"/>
      <c r="T46" s="191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M46" s="329"/>
    </row>
    <row r="47" spans="1:20" ht="32.25" customHeight="1">
      <c r="A47" s="356" t="s">
        <v>88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</row>
  </sheetData>
  <sheetProtection/>
  <mergeCells count="23">
    <mergeCell ref="A47:T47"/>
    <mergeCell ref="A5:A6"/>
    <mergeCell ref="A11:A12"/>
    <mergeCell ref="A14:A16"/>
    <mergeCell ref="A18:B18"/>
    <mergeCell ref="A10:B10"/>
    <mergeCell ref="A7:B7"/>
    <mergeCell ref="A42:B42"/>
    <mergeCell ref="A36:B36"/>
    <mergeCell ref="A38:B38"/>
    <mergeCell ref="A46:I46"/>
    <mergeCell ref="A35:B35"/>
    <mergeCell ref="A37:B37"/>
    <mergeCell ref="A28:B28"/>
    <mergeCell ref="A29:A31"/>
    <mergeCell ref="A32:B32"/>
    <mergeCell ref="A33:B33"/>
    <mergeCell ref="A34:B34"/>
    <mergeCell ref="A45:B45"/>
    <mergeCell ref="A19:A20"/>
    <mergeCell ref="A21:B21"/>
    <mergeCell ref="A22:A27"/>
    <mergeCell ref="A3:T3"/>
  </mergeCells>
  <printOptions/>
  <pageMargins left="0.23" right="0.2" top="0.24" bottom="0.23" header="0.2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2018-10-29T10:46:35Z</cp:lastPrinted>
  <dcterms:created xsi:type="dcterms:W3CDTF">2011-03-01T10:10:47Z</dcterms:created>
  <dcterms:modified xsi:type="dcterms:W3CDTF">2018-11-01T13:14:29Z</dcterms:modified>
  <cp:category/>
  <cp:version/>
  <cp:contentType/>
  <cp:contentStatus/>
</cp:coreProperties>
</file>